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7740" tabRatio="742" activeTab="18"/>
  </bookViews>
  <sheets>
    <sheet name="General Info" sheetId="1" r:id="rId1"/>
    <sheet name="FALL 2010" sheetId="2" state="hidden" r:id="rId2"/>
    <sheet name="SPRING 2011" sheetId="3" state="hidden" r:id="rId3"/>
    <sheet name="FALL 2011" sheetId="4" state="hidden" r:id="rId4"/>
    <sheet name="SPRING 2012" sheetId="5" state="hidden" r:id="rId5"/>
    <sheet name="FALL 2012" sheetId="6" state="hidden" r:id="rId6"/>
    <sheet name="SPRING 2013" sheetId="7" state="hidden" r:id="rId7"/>
    <sheet name="FALL 2013" sheetId="8" state="hidden" r:id="rId8"/>
    <sheet name="SPRING 2012 (DO NOT CLICK)" sheetId="9" state="hidden" r:id="rId9"/>
    <sheet name="SPRING 2014" sheetId="10" state="hidden" r:id="rId10"/>
    <sheet name="FALL 2014" sheetId="11" state="hidden" r:id="rId11"/>
    <sheet name="SPRING 2015" sheetId="12" state="hidden" r:id="rId12"/>
    <sheet name="FALL 2015" sheetId="13" state="hidden" r:id="rId13"/>
    <sheet name="SPRING 2016" sheetId="14" r:id="rId14"/>
    <sheet name="FALL 2016" sheetId="15" r:id="rId15"/>
    <sheet name="SPRING 2017" sheetId="16" r:id="rId16"/>
    <sheet name="FALL 2017" sheetId="17" r:id="rId17"/>
    <sheet name="SPRING 2018" sheetId="18" r:id="rId18"/>
    <sheet name="FALL 2018" sheetId="19" r:id="rId19"/>
    <sheet name="SPRING 2019" sheetId="20" r:id="rId20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<sst xmlns="http://schemas.openxmlformats.org/spreadsheetml/2006/main" count="2013" uniqueCount="672">
  <si>
    <t>Valencia (50%)</t>
  </si>
  <si>
    <t xml:space="preserve">Admission fee </t>
  </si>
  <si>
    <t>KIMEP PIE</t>
  </si>
  <si>
    <t>Festival of Nationalities</t>
  </si>
  <si>
    <t>REVENUE*</t>
  </si>
  <si>
    <t>NET RESULT</t>
  </si>
  <si>
    <t>Commencement</t>
  </si>
  <si>
    <t xml:space="preserve">Brainring championship </t>
  </si>
  <si>
    <t>BrainArt</t>
  </si>
  <si>
    <t xml:space="preserve">Hallowen </t>
  </si>
  <si>
    <t>Createam</t>
  </si>
  <si>
    <t>Mister KIMEP</t>
  </si>
  <si>
    <t>KISA</t>
  </si>
  <si>
    <t>Super League KVN</t>
  </si>
  <si>
    <t xml:space="preserve">KVN </t>
  </si>
  <si>
    <t>Memorandum KSA</t>
  </si>
  <si>
    <t>KSA</t>
  </si>
  <si>
    <t>Magazines KIMEP pie</t>
  </si>
  <si>
    <t>YAN</t>
  </si>
  <si>
    <t>KVN KIMEP</t>
  </si>
  <si>
    <t>PAAP</t>
  </si>
  <si>
    <t>Miiss KIMEP</t>
  </si>
  <si>
    <t>SIFE</t>
  </si>
  <si>
    <t xml:space="preserve">Sport Team </t>
  </si>
  <si>
    <t>EXPENSES (EVENTS)</t>
  </si>
  <si>
    <t>ACTUAL SAF BUDGET FOR FALL 2010</t>
  </si>
  <si>
    <t>Revenue</t>
  </si>
  <si>
    <t>VAT</t>
  </si>
  <si>
    <t>TOTAL EXPENSES</t>
  </si>
  <si>
    <t>TOTAL REVENUE</t>
  </si>
  <si>
    <t>Past Surplus/Deficit</t>
  </si>
  <si>
    <t>ACTUAL SAF BUDGET FOR SPRING 2011</t>
  </si>
  <si>
    <t>"Karandash" Art Exhibition</t>
  </si>
  <si>
    <t>Amanat (student orchestra)</t>
  </si>
  <si>
    <t>Brainart Olympiad</t>
  </si>
  <si>
    <t>ELSA</t>
  </si>
  <si>
    <t>ELSA + IDC tournaments</t>
  </si>
  <si>
    <t>Golden Middle 2011</t>
  </si>
  <si>
    <t>Harvard model United Nations for Students</t>
  </si>
  <si>
    <t>KIMEP Football (Fall refund)</t>
  </si>
  <si>
    <t>KIMEP Football League</t>
  </si>
  <si>
    <t>KIMEP, I Love YOU!</t>
  </si>
  <si>
    <t>KIMEP-Pie journal</t>
  </si>
  <si>
    <t>Malaysia Debate Championship</t>
  </si>
  <si>
    <t>Nauryz 2011</t>
  </si>
  <si>
    <t>Open Hearts for Charity</t>
  </si>
  <si>
    <t>PWC Kazakhstan Accounting Olympiad (LUCA)</t>
  </si>
  <si>
    <t>Round table &amp; Gallery</t>
  </si>
  <si>
    <t>Show Time</t>
  </si>
  <si>
    <t>The KVN team TITANS participation in Eurasian league</t>
  </si>
  <si>
    <t>FALL 2010</t>
  </si>
  <si>
    <t>SPRING 2011</t>
  </si>
  <si>
    <t>FALL 2011</t>
  </si>
  <si>
    <t>EXPENSES**</t>
  </si>
  <si>
    <r>
      <t>KIMEP Pie</t>
    </r>
    <r>
      <rPr>
        <sz val="12"/>
        <rFont val="Arial"/>
        <family val="2"/>
      </rPr>
      <t xml:space="preserve"> magazine</t>
    </r>
  </si>
  <si>
    <t>Students</t>
  </si>
  <si>
    <t>Fee</t>
  </si>
  <si>
    <r>
      <t xml:space="preserve">BSC, </t>
    </r>
    <r>
      <rPr>
        <sz val="12"/>
        <rFont val="Arial"/>
        <family val="2"/>
      </rPr>
      <t>Kazakhstant in my eyes</t>
    </r>
  </si>
  <si>
    <r>
      <t xml:space="preserve">DBC, </t>
    </r>
    <r>
      <rPr>
        <sz val="12"/>
        <rFont val="Arial"/>
        <family val="2"/>
      </rPr>
      <t>Almaty Model United Nations</t>
    </r>
  </si>
  <si>
    <r>
      <t xml:space="preserve">Amanat, </t>
    </r>
    <r>
      <rPr>
        <sz val="12"/>
        <rFont val="Arial"/>
        <family val="2"/>
      </rPr>
      <t>Student Orchestra</t>
    </r>
  </si>
  <si>
    <r>
      <t xml:space="preserve">KAFC, </t>
    </r>
    <r>
      <rPr>
        <sz val="12"/>
        <rFont val="Arial"/>
        <family val="2"/>
      </rPr>
      <t>Business review journal</t>
    </r>
  </si>
  <si>
    <r>
      <t>Youth Assembly,</t>
    </r>
    <r>
      <rPr>
        <sz val="12"/>
        <rFont val="Arial"/>
        <family val="2"/>
      </rPr>
      <t xml:space="preserve"> Commencement</t>
    </r>
  </si>
  <si>
    <r>
      <t xml:space="preserve">Brain Art, </t>
    </r>
    <r>
      <rPr>
        <sz val="12"/>
        <rFont val="Arial"/>
        <family val="2"/>
      </rPr>
      <t>Golden Mind of KIMEP</t>
    </r>
  </si>
  <si>
    <r>
      <t>KISA,</t>
    </r>
    <r>
      <rPr>
        <sz val="12"/>
        <rFont val="Arial"/>
        <family val="2"/>
      </rPr>
      <t xml:space="preserve"> Mister KIMEP</t>
    </r>
  </si>
  <si>
    <r>
      <t xml:space="preserve">DBC, </t>
    </r>
    <r>
      <rPr>
        <sz val="12"/>
        <rFont val="Arial"/>
        <family val="2"/>
      </rPr>
      <t>Model UN Security Council</t>
    </r>
  </si>
  <si>
    <r>
      <t>IDC,</t>
    </r>
    <r>
      <rPr>
        <sz val="12"/>
        <rFont val="Arial"/>
        <family val="2"/>
      </rPr>
      <t xml:space="preserve"> Moscow debate open</t>
    </r>
  </si>
  <si>
    <t>ACTUAL SAF BUDGET FOR FALL 2011</t>
  </si>
  <si>
    <t>SPRING 2012</t>
  </si>
  <si>
    <t>CrEATeam - Event by second course</t>
  </si>
  <si>
    <t>CrEATeam - Day of Health</t>
  </si>
  <si>
    <t>CrEATeam - Show Time</t>
  </si>
  <si>
    <t>BrainArt - KIMEP brain-ring championship</t>
  </si>
  <si>
    <t>BrainArt - KIMEP chess tournament</t>
  </si>
  <si>
    <t>BrainArt - BrainArt cup</t>
  </si>
  <si>
    <t>BrainArt - Astana cup</t>
  </si>
  <si>
    <t>Brand - Winter Ball</t>
  </si>
  <si>
    <t>Brand - Flash Mob</t>
  </si>
  <si>
    <t>BRJ - Magazine</t>
  </si>
  <si>
    <t>ELSA - International Meeting</t>
  </si>
  <si>
    <t>ITS - Spain-Kazakhstan Tax Forum</t>
  </si>
  <si>
    <t>KISA - Costume Ball</t>
  </si>
  <si>
    <t>FC KIMEP Queens - Women's footbal club</t>
  </si>
  <si>
    <t>KFL - Football league</t>
  </si>
  <si>
    <t>KIMEP PIE - Magazine (2nd edition)</t>
  </si>
  <si>
    <t>KIMEP PIE - Golden Middle</t>
  </si>
  <si>
    <t>Entertainments - Timeout Party</t>
  </si>
  <si>
    <t>Entertainments - T.G.I.F. Party</t>
  </si>
  <si>
    <t>Entertainments - VEGAS Party</t>
  </si>
  <si>
    <t>Youth Parliament - Oath event</t>
  </si>
  <si>
    <t>KIMEP Friends - Ice Party</t>
  </si>
  <si>
    <t>Amanat - Nauryz Celebration</t>
  </si>
  <si>
    <t>KIMEP Friends - Gotcha game</t>
  </si>
  <si>
    <t>KIMEP Friends - Saint Valentine's Day</t>
  </si>
  <si>
    <t>KADA - Perfomance</t>
  </si>
  <si>
    <t>Digidoc</t>
  </si>
  <si>
    <t>Youth Assambley - Festival</t>
  </si>
  <si>
    <t>Youth Assambley - Photo exhibition</t>
  </si>
  <si>
    <t>Youth Assambley - Motor Rally</t>
  </si>
  <si>
    <t>Youth Assambley - Sport Day</t>
  </si>
  <si>
    <t>Basketball team - Uniform</t>
  </si>
  <si>
    <t>SAF BUDGET FOR SPRING 2012</t>
  </si>
  <si>
    <t>Titans - Trip to two games</t>
  </si>
  <si>
    <t>Karandash - Exhibition</t>
  </si>
  <si>
    <t>DBC - Security Council / International UN</t>
  </si>
  <si>
    <t>CAEF - Volleyball</t>
  </si>
  <si>
    <t>IDC - Russian/English Tournament</t>
  </si>
  <si>
    <t>Taekwomdo - Coach</t>
  </si>
  <si>
    <t>KVN - KVN</t>
  </si>
  <si>
    <t>Karandash - KZ COMIX</t>
  </si>
  <si>
    <t>E</t>
  </si>
  <si>
    <t>I</t>
  </si>
  <si>
    <t>C</t>
  </si>
  <si>
    <t>S</t>
  </si>
  <si>
    <t>M</t>
  </si>
  <si>
    <t>Resident Assistance - Events</t>
  </si>
  <si>
    <t>Sport</t>
  </si>
  <si>
    <t>Intellectual</t>
  </si>
  <si>
    <t>Entertainment</t>
  </si>
  <si>
    <t>Culture</t>
  </si>
  <si>
    <t>CATEGORY</t>
  </si>
  <si>
    <t>COUNT</t>
  </si>
  <si>
    <t>BUDGETED</t>
  </si>
  <si>
    <t>ACTUAL</t>
  </si>
  <si>
    <t>AMOUNT</t>
  </si>
  <si>
    <t>TOTAL</t>
  </si>
  <si>
    <t>Miscellaneous</t>
  </si>
  <si>
    <t>BENCHMARK</t>
  </si>
  <si>
    <t>BUDGET</t>
  </si>
  <si>
    <t>paid</t>
  </si>
  <si>
    <t>eligible to pay</t>
  </si>
  <si>
    <t>iTutor - Equipment (transferred to Sweet Fair by KFG)</t>
  </si>
  <si>
    <t>Economics Club - Olympiad</t>
  </si>
  <si>
    <t>Football Club (Mini Football league)</t>
  </si>
  <si>
    <t>SAF BUDGET FOR FALL 2012</t>
  </si>
  <si>
    <t>FALL 2012</t>
  </si>
  <si>
    <r>
      <t xml:space="preserve">KAFC - </t>
    </r>
    <r>
      <rPr>
        <sz val="12"/>
        <rFont val="Verdana"/>
        <family val="2"/>
      </rPr>
      <t>The Smartest Guy in The Room</t>
    </r>
  </si>
  <si>
    <r>
      <t xml:space="preserve">CreaTeam </t>
    </r>
    <r>
      <rPr>
        <sz val="12"/>
        <rFont val="Verdana"/>
        <family val="2"/>
      </rPr>
      <t>- Dormitory Party</t>
    </r>
  </si>
  <si>
    <t>DBC</t>
  </si>
  <si>
    <t>iTutor</t>
  </si>
  <si>
    <r>
      <t xml:space="preserve">KIMEP Sawg </t>
    </r>
    <r>
      <rPr>
        <sz val="12"/>
        <rFont val="Verdana"/>
        <family val="2"/>
      </rPr>
      <t>- Radio</t>
    </r>
  </si>
  <si>
    <r>
      <t>IDC</t>
    </r>
    <r>
      <rPr>
        <sz val="12"/>
        <rFont val="Verdana"/>
        <family val="2"/>
      </rPr>
      <t xml:space="preserve"> - Debate Club</t>
    </r>
  </si>
  <si>
    <r>
      <t>KISA</t>
    </r>
    <r>
      <rPr>
        <sz val="12"/>
        <rFont val="Verdana"/>
        <family val="2"/>
      </rPr>
      <t xml:space="preserve"> - Mister KIMEP</t>
    </r>
  </si>
  <si>
    <r>
      <t xml:space="preserve">KIMEP Pie </t>
    </r>
    <r>
      <rPr>
        <sz val="12"/>
        <rFont val="Verdana"/>
        <family val="2"/>
      </rPr>
      <t>- Magazine</t>
    </r>
  </si>
  <si>
    <r>
      <t xml:space="preserve">KIMEP Pictires - </t>
    </r>
    <r>
      <rPr>
        <sz val="12"/>
        <rFont val="Verdana"/>
        <family val="2"/>
      </rPr>
      <t>Magazine</t>
    </r>
  </si>
  <si>
    <r>
      <t>ELITE</t>
    </r>
    <r>
      <rPr>
        <sz val="12"/>
        <rFont val="Verdana"/>
        <family val="2"/>
      </rPr>
      <t xml:space="preserve"> - Miss KIMEP</t>
    </r>
  </si>
  <si>
    <r>
      <t xml:space="preserve">Youth Assambley </t>
    </r>
    <r>
      <rPr>
        <sz val="12"/>
        <rFont val="Verdana"/>
        <family val="2"/>
      </rPr>
      <t>- Festival of Nations</t>
    </r>
  </si>
  <si>
    <r>
      <t>AMANAT</t>
    </r>
    <r>
      <rPr>
        <sz val="12"/>
        <rFont val="Verdana"/>
        <family val="2"/>
      </rPr>
      <t xml:space="preserve"> - Literature event</t>
    </r>
  </si>
  <si>
    <r>
      <t xml:space="preserve">Group of KIMEP students </t>
    </r>
    <r>
      <rPr>
        <sz val="12"/>
        <rFont val="Verdana"/>
        <family val="2"/>
      </rPr>
      <t>- charity project</t>
    </r>
  </si>
  <si>
    <r>
      <t xml:space="preserve">KIMEP TITANS </t>
    </r>
    <r>
      <rPr>
        <sz val="12"/>
        <rFont val="Verdana"/>
        <family val="2"/>
      </rPr>
      <t>- uniform</t>
    </r>
  </si>
  <si>
    <t>Dormitory Residents</t>
  </si>
  <si>
    <t>REVIEWED BY BC</t>
  </si>
  <si>
    <t>PRELIMINARY</t>
  </si>
  <si>
    <t>REVIEWED</t>
  </si>
  <si>
    <r>
      <t xml:space="preserve">Taekwondo </t>
    </r>
    <r>
      <rPr>
        <sz val="12"/>
        <rFont val="Verdana"/>
        <family val="2"/>
      </rPr>
      <t>- competition in Malaysia</t>
    </r>
  </si>
  <si>
    <r>
      <t xml:space="preserve">CATRC - </t>
    </r>
    <r>
      <rPr>
        <sz val="12"/>
        <rFont val="Verdana"/>
        <family val="2"/>
      </rPr>
      <t>Italy-Spain-Kazakhstan Tax Forum</t>
    </r>
  </si>
  <si>
    <r>
      <t xml:space="preserve">Economists Club </t>
    </r>
    <r>
      <rPr>
        <sz val="12"/>
        <rFont val="Verdana"/>
        <family val="2"/>
      </rPr>
      <t>- City Debates in Economics</t>
    </r>
  </si>
  <si>
    <t xml:space="preserve">Kimep Nuggets - </t>
  </si>
  <si>
    <t>KADA - concert</t>
  </si>
  <si>
    <t>MASS On KIMEP - magazine #1</t>
  </si>
  <si>
    <t>MASS On KIMEP - party#1</t>
  </si>
  <si>
    <t>MASS On KIMEP - Paintball</t>
  </si>
  <si>
    <t>MASS On KIMEP - magazine #2</t>
  </si>
  <si>
    <t>Amanat - Nauriz</t>
  </si>
  <si>
    <t>Amanat - Kazakh Fashion week</t>
  </si>
  <si>
    <t xml:space="preserve">Amanat - Meeting with modern poets </t>
  </si>
  <si>
    <t>KFL -- football</t>
  </si>
  <si>
    <t>Broadcusting club - Recruitment</t>
  </si>
  <si>
    <t xml:space="preserve">Broadcusting club - Shooting materials </t>
  </si>
  <si>
    <t>Broadcusting club - Teambuilding*2</t>
  </si>
  <si>
    <t>Broadcusting club - annual event party</t>
  </si>
  <si>
    <t>Broadcusting club - T-shirts for BC members</t>
  </si>
  <si>
    <t>Broadcusting club - Cyber link software</t>
  </si>
  <si>
    <t>KASD - Stars on ICE</t>
  </si>
  <si>
    <t>KIMEP Pictures - magazine #1</t>
  </si>
  <si>
    <t>KIMEP Pictures- magazine # 2</t>
  </si>
  <si>
    <t xml:space="preserve">Youth Assambley - Sportday  </t>
  </si>
  <si>
    <t>PAAP - KVN</t>
  </si>
  <si>
    <t>Youth Parliament - outh</t>
  </si>
  <si>
    <t xml:space="preserve">Youth Assambley - Festival of nations  </t>
  </si>
  <si>
    <t xml:space="preserve">Youth Assambley - Juice’s week  </t>
  </si>
  <si>
    <t xml:space="preserve">Youth Assambley - Cinema’s week  </t>
  </si>
  <si>
    <t xml:space="preserve">Youth Assambley - Car’s run against drunk drivers  </t>
  </si>
  <si>
    <t xml:space="preserve">Youth Assambley - Chess championship </t>
  </si>
  <si>
    <t xml:space="preserve">Youth Assambley - Culture day </t>
  </si>
  <si>
    <t xml:space="preserve">Youth Assambley - Spring Party </t>
  </si>
  <si>
    <t xml:space="preserve">Youth Assambley - Work and travel dialog’s </t>
  </si>
  <si>
    <t xml:space="preserve">KIMEP Legal clinic - Model-trial </t>
  </si>
  <si>
    <t>KIMEP Legal clinic -  Conference</t>
  </si>
  <si>
    <t>KIMEP Legal clinic - Workshops</t>
  </si>
  <si>
    <t xml:space="preserve">KIMEP Legal clinic - Round tables </t>
  </si>
  <si>
    <t>KIMEP Legal clinic - Teambuilding</t>
  </si>
  <si>
    <t>KIMEP Legal clinic - Video clip</t>
  </si>
  <si>
    <t>SPRING 2013</t>
  </si>
  <si>
    <t>SAF BUDGET FOR SPRING 2013</t>
  </si>
  <si>
    <t>date:</t>
  </si>
  <si>
    <t xml:space="preserve">IDC - “BP battle” </t>
  </si>
  <si>
    <t>KIMEP PIE - Magazine</t>
  </si>
  <si>
    <t xml:space="preserve">KIMEP PIE- Golden Middle </t>
  </si>
  <si>
    <t xml:space="preserve">Economist Club - Economic Debates </t>
  </si>
  <si>
    <t xml:space="preserve">KIMEP Legal clinic - Open Day </t>
  </si>
  <si>
    <t>Meeting with Bibigul Tulegenova</t>
  </si>
  <si>
    <t>KAFC - "KIMEP Intelectual Olympiad"</t>
  </si>
  <si>
    <t>"Sophmore day" - by KIMEP Nuggets</t>
  </si>
  <si>
    <t xml:space="preserve">US-CAEF- basketball </t>
  </si>
  <si>
    <t xml:space="preserve">ELSA - project </t>
  </si>
  <si>
    <t>KIMEP Swag</t>
  </si>
  <si>
    <t>Basketball (US CAEF)</t>
  </si>
  <si>
    <t>FALL 2013</t>
  </si>
  <si>
    <t>IDC - KIMEP University Cup</t>
  </si>
  <si>
    <t>IDC - Moscow debate open</t>
  </si>
  <si>
    <t xml:space="preserve">KIMEP PIE- Birthday party </t>
  </si>
  <si>
    <t>KIMEP PIE - KIMEP Awards</t>
  </si>
  <si>
    <t>KFL - Soccer Championship</t>
  </si>
  <si>
    <t>Kimep Nuggets - New Year Party</t>
  </si>
  <si>
    <t>KADA - Rehearsals</t>
  </si>
  <si>
    <t>KADA - Hymn of KIMEP</t>
  </si>
  <si>
    <t>KLC - Visiting Supreme Court</t>
  </si>
  <si>
    <t>KLC - Open House Day</t>
  </si>
  <si>
    <t>KLC- Seminar</t>
  </si>
  <si>
    <t>KIMEP Geeks - Halloween</t>
  </si>
  <si>
    <t>KAFC - The smartest guy in the room</t>
  </si>
  <si>
    <t>KIMEP football team - Belgium</t>
  </si>
  <si>
    <t>ELSA - seminar on law topic</t>
  </si>
  <si>
    <t xml:space="preserve">ELSA - conference </t>
  </si>
  <si>
    <t>ELSA - Charity</t>
  </si>
  <si>
    <t>ELSA - ELSA Day, workshop</t>
  </si>
  <si>
    <t>ELSA - ICM</t>
  </si>
  <si>
    <t>ELSA - Alumni connection</t>
  </si>
  <si>
    <t>ELSA - Law career day</t>
  </si>
  <si>
    <t>DigiDoc - Show must go on</t>
  </si>
  <si>
    <t>KIMEP Business Connection - Guest Speakers #1</t>
  </si>
  <si>
    <t>KIMEP Business Connection - Poker Tournament</t>
  </si>
  <si>
    <t>KIMEP Business Connection - Guest Speakers #2</t>
  </si>
  <si>
    <t>KIMEP Pictures - KP Mag</t>
  </si>
  <si>
    <t>KISA - Mr KIMEP</t>
  </si>
  <si>
    <t>CATRC - Moot court #1</t>
  </si>
  <si>
    <t>CATRC - Moot court #2</t>
  </si>
  <si>
    <t>CATRC - Tax Forum</t>
  </si>
  <si>
    <t>KIMEP Champions - Paintball Championship</t>
  </si>
  <si>
    <t>KIMEP Champions - Archery Championship</t>
  </si>
  <si>
    <t>KIMEP Champions - Chess Championship</t>
  </si>
  <si>
    <t>KIMEP Champions - Billyard Championship</t>
  </si>
  <si>
    <t>KIMEP Champions - UFC Championship</t>
  </si>
  <si>
    <t>KIMEP Champions - FIFA Championship</t>
  </si>
  <si>
    <t>KIMEP Champions - Judicial Night</t>
  </si>
  <si>
    <t xml:space="preserve">KIMEP Champions - Volleyball Championship </t>
  </si>
  <si>
    <t>CATRC - Guest Lectures</t>
  </si>
  <si>
    <t>ELITE - Miss KIMEP</t>
  </si>
  <si>
    <t>ELITE - Counter-Strike Tournament</t>
  </si>
  <si>
    <t>ELITE - Sport Facilities</t>
  </si>
  <si>
    <t>ELITE - Dota Tournament</t>
  </si>
  <si>
    <t>PAAP &amp; Kimep PIE - KVN</t>
  </si>
  <si>
    <t>US-CAEF- Central Asian Cup</t>
  </si>
  <si>
    <t>US-CAEF- Halloween Party</t>
  </si>
  <si>
    <t>Createam - Dormitory party</t>
  </si>
  <si>
    <t>Createam - Halloween</t>
  </si>
  <si>
    <t xml:space="preserve">Youth Assambley - Arm wrestling Championship  </t>
  </si>
  <si>
    <t>Youth Assambley - Powerlifting Championship</t>
  </si>
  <si>
    <t xml:space="preserve">Youth Assambley - KIMEP history quizz </t>
  </si>
  <si>
    <t>Youth Assambley - Quizz game for Adminstration</t>
  </si>
  <si>
    <t xml:space="preserve">Youth Assambley - Commencement </t>
  </si>
  <si>
    <t>Youth Assambley - Campaign to hippodrome</t>
  </si>
  <si>
    <t>KIMEP Fashion Industry - Christmas Party</t>
  </si>
  <si>
    <t>KIMEP Fashion Industry - Halloween</t>
  </si>
  <si>
    <t>KIMEP Cheerleaders - pom-poms</t>
  </si>
  <si>
    <t>KIMEP Cheerleaders - mats for training</t>
  </si>
  <si>
    <t>KIMEP Innovation Incubator - The best project #1</t>
  </si>
  <si>
    <t>KIMEP Innovation Incubator - The best project #2</t>
  </si>
  <si>
    <t xml:space="preserve">KIMEP Innovation Incubator - Forum of Universities </t>
  </si>
  <si>
    <t xml:space="preserve">KIMEP Innovation Incubator - Casting </t>
  </si>
  <si>
    <t>Student Affairs - Official Commencement</t>
  </si>
  <si>
    <t>Reimbursement - Representative on political camp</t>
  </si>
  <si>
    <t>Reimbursement - Muslim Mustafin's Case</t>
  </si>
  <si>
    <t xml:space="preserve">Contingency fund </t>
  </si>
  <si>
    <t>REQUESTED</t>
  </si>
  <si>
    <t>APPROVED BY BC</t>
  </si>
  <si>
    <r>
      <t>PRELIMINARY REVIEWED</t>
    </r>
    <r>
      <rPr>
        <sz val="10"/>
        <rFont val="Arial"/>
        <family val="2"/>
      </rPr>
      <t xml:space="preserve"> by BC</t>
    </r>
  </si>
  <si>
    <t>SAF BUDGET FOR FALL 2013</t>
  </si>
  <si>
    <t>RA - Cooking day (dormitory)</t>
  </si>
  <si>
    <t>KSA - Independecnce day</t>
  </si>
  <si>
    <t>date: January 20, 2014</t>
  </si>
  <si>
    <t>IDC - Estonian Open Cup</t>
  </si>
  <si>
    <t>KIMEP PIE - Magazine 16th issue</t>
  </si>
  <si>
    <t>KIMEP PIE- Golden Middle</t>
  </si>
  <si>
    <t>KADA - Concert</t>
  </si>
  <si>
    <t>KIMEP Nuggets - Sophmore party</t>
  </si>
  <si>
    <t>KIMEP Nuggets - Oscar</t>
  </si>
  <si>
    <t>KIMEP Nuggets - Sport day</t>
  </si>
  <si>
    <t>KIMEP Nuggets - Make up day</t>
  </si>
  <si>
    <t>KIMEP Nuggets - Valentines Day</t>
  </si>
  <si>
    <t>KIMEP Nuggets - Forever Alone party</t>
  </si>
  <si>
    <t>KIMEP Geeks - Valentines Day</t>
  </si>
  <si>
    <t>Elite - Showtime</t>
  </si>
  <si>
    <t>ELSA - Moot court competition</t>
  </si>
  <si>
    <t>ELSA - Elsa Day "Connected"</t>
  </si>
  <si>
    <t>ELSA - International council meeting in Malta</t>
  </si>
  <si>
    <t>ELSA - seminar: alumni meeting</t>
  </si>
  <si>
    <t>ELSA - ELSA MUN</t>
  </si>
  <si>
    <t>EA Group - Grand Opening Party</t>
  </si>
  <si>
    <t>DigiDoc - Les Miserables</t>
  </si>
  <si>
    <t>KIMEP Titans - Bus to Bishkek</t>
  </si>
  <si>
    <t>KIMEP Titans - Rent of Field</t>
  </si>
  <si>
    <t>KIMEP Titans - Asian Championship</t>
  </si>
  <si>
    <t>KASD - Stars on ice</t>
  </si>
  <si>
    <t>KIMEP Friends - Love party</t>
  </si>
  <si>
    <t>KIMEP Friends - Sophmore party</t>
  </si>
  <si>
    <t>KIMEP Entrepreneurs club - Presentation of a club</t>
  </si>
  <si>
    <t>KIMEP Entrepreneurs club - Why to start your own business?`</t>
  </si>
  <si>
    <t>KIMEP Entrepreneurs club - Business cases analysis</t>
  </si>
  <si>
    <t>KIMEP Entrepreneurs club - Kiosaki game</t>
  </si>
  <si>
    <t>KIMEP Entrepreneurs club - CFA guest lecture</t>
  </si>
  <si>
    <t>KIMEP Entrepreneurs club - How to create a business plan?</t>
  </si>
  <si>
    <t>KIMEP Entrepreneurs club - Business plan competition</t>
  </si>
  <si>
    <t>KIMEP Entrepreneurs club - How to realize your business idea?</t>
  </si>
  <si>
    <t>KIMEP Entrepreneurs club - Guest lect. by Entrep. Club Almaty</t>
  </si>
  <si>
    <t>KIMEP Entrepreneurs club - "How to start your own business?"</t>
  </si>
  <si>
    <t>KIMEP Entrepreneurs club - Guest lecture #2</t>
  </si>
  <si>
    <t>Youth Assambley - Juice Day</t>
  </si>
  <si>
    <t>Youth Assambley - Paintball</t>
  </si>
  <si>
    <t>Youth Assambley - Movies Night</t>
  </si>
  <si>
    <t>Youth Assambley - Festival of nation</t>
  </si>
  <si>
    <t>Youth Assambley - Ice cream Day</t>
  </si>
  <si>
    <t>Youth Assambley - Billiard Championship</t>
  </si>
  <si>
    <t>RA - Sport Cup (dormitory)</t>
  </si>
  <si>
    <t>RA - Talent competition (dormitory)</t>
  </si>
  <si>
    <t>Ecology Movement - Planting of trees on campus</t>
  </si>
  <si>
    <t>Ecology Movement - Day without cars</t>
  </si>
  <si>
    <t>Ecology Movement - Picnic</t>
  </si>
  <si>
    <t>Ecology Movement - Guest lectures</t>
  </si>
  <si>
    <t>Amanat - Orchestra conductor</t>
  </si>
  <si>
    <t>Amanat - Kazakh Fashion Week</t>
  </si>
  <si>
    <t>Amanat - Costumes</t>
  </si>
  <si>
    <t>KIMEP Events - Crocodile</t>
  </si>
  <si>
    <t>KIMEP Events - Lip Dub</t>
  </si>
  <si>
    <t>Enactus - printing of fin.reports (competition)</t>
  </si>
  <si>
    <t>Enactus - Team uniform</t>
  </si>
  <si>
    <t>Action KIMEP - Intellectual game</t>
  </si>
  <si>
    <t>Action KIMEP - Dota</t>
  </si>
  <si>
    <t>Action KIMEP - CS tournament</t>
  </si>
  <si>
    <t>KSA - Box for Charity for SA</t>
  </si>
  <si>
    <t>KSA - Weigh scale for sport center</t>
  </si>
  <si>
    <t>KIMEP PIE - Magazine 15th issue</t>
  </si>
  <si>
    <t>KIMEP Events - UFC Championship</t>
  </si>
  <si>
    <t>KFI - Valentine's day</t>
  </si>
  <si>
    <t>KFI - Sophmore party</t>
  </si>
  <si>
    <t>KFI - Charity fashion show</t>
  </si>
  <si>
    <t>Fund raising from KIMEP</t>
  </si>
  <si>
    <t>Youth Assembly - Palermo case</t>
  </si>
  <si>
    <t>Contingency Fund</t>
  </si>
  <si>
    <t>-</t>
  </si>
  <si>
    <t>PRELIMINARY REVIEWED by BC</t>
  </si>
  <si>
    <t>KIMEP Nuggets - Nauryz</t>
  </si>
  <si>
    <t>KIMEP Nuggets - Have a break</t>
  </si>
  <si>
    <t>KISA - 4th annual ball</t>
  </si>
  <si>
    <t>ELSA - Call for research papers</t>
  </si>
  <si>
    <t>KIMEP Titans - Accomodation of China team</t>
  </si>
  <si>
    <t>KIMEP Entrepreneurs club - Participation in business game</t>
  </si>
  <si>
    <t>Youth Assambley - Chess Championship</t>
  </si>
  <si>
    <t>Ecology Movement - Velotour</t>
  </si>
  <si>
    <t>KSA - technics for Great hall</t>
  </si>
  <si>
    <t>KIMEP Events - Sophmore Party</t>
  </si>
  <si>
    <t>KIMEP football team - Belgium(LO)</t>
  </si>
  <si>
    <t>KIMEP Cheerleaders - pom-poms (LO)</t>
  </si>
  <si>
    <t>KIMEP Cheerleaders - mats for training (LO)</t>
  </si>
  <si>
    <t>Reimbursement - Representative on Nur Otan Conf.</t>
  </si>
  <si>
    <t>SPRING 2014</t>
  </si>
  <si>
    <t>Kimep Pie-Students Magazine #16, #17</t>
  </si>
  <si>
    <t>Kimep Pie-Kimep Expo 2014</t>
  </si>
  <si>
    <t>Kimep Pie-Kimep Awards</t>
  </si>
  <si>
    <t>Kimep Case Club-Business Case Championship</t>
  </si>
  <si>
    <t>Kimep Queens-Funding for Promotion</t>
  </si>
  <si>
    <t>Kimep Fashion Industry-Miss Kimep</t>
  </si>
  <si>
    <t>Kimep Fashion Industry-KFI Bithday Party</t>
  </si>
  <si>
    <t>KISA-Mr. Kimep 2015</t>
  </si>
  <si>
    <t>Youth Assembly-InstaParty</t>
  </si>
  <si>
    <t>Youth Assembly-Chess Tournament</t>
  </si>
  <si>
    <t>Youth Assembly-Piknik</t>
  </si>
  <si>
    <t>Youth Assembly-Marathon</t>
  </si>
  <si>
    <t>Youth Assembly-Erudit Game</t>
  </si>
  <si>
    <t>Youth Assembly-Bicycle Riding</t>
  </si>
  <si>
    <t>Youth Assembly-Project X</t>
  </si>
  <si>
    <t>Youth Assembly-MA anniversary</t>
  </si>
  <si>
    <t>Youth Assembly-Bowling Tournament</t>
  </si>
  <si>
    <t>Youth Assembly-Commencement</t>
  </si>
  <si>
    <t>Renaissance-Likbez</t>
  </si>
  <si>
    <t>Renaissance-Big Bang Party</t>
  </si>
  <si>
    <t>KASD-Kimep Open</t>
  </si>
  <si>
    <t>KASD-KASD Football Cup</t>
  </si>
  <si>
    <t>KASD-Horseback Riding</t>
  </si>
  <si>
    <t>KASD-Stars On Ice 2015</t>
  </si>
  <si>
    <t>Kimep Friends-Commencement</t>
  </si>
  <si>
    <t>Kimep Friends-Movie Night</t>
  </si>
  <si>
    <t>Kimep Friends-Cheese Competations</t>
  </si>
  <si>
    <t>Kimep Friends-Health Day</t>
  </si>
  <si>
    <t>Kimep Friends-Gotcha</t>
  </si>
  <si>
    <t>Kimep Friends-Arm Wrestling</t>
  </si>
  <si>
    <t>Kimep Friends-Brainstorming</t>
  </si>
  <si>
    <t>Kimep Friends-AIDs Day</t>
  </si>
  <si>
    <t>Kimep Legal Clinic-Legal Clinic Website</t>
  </si>
  <si>
    <t>Kimep Legal Clinic-Round Tables</t>
  </si>
  <si>
    <t>Kimep Legal Clinic-Supreme Court visit</t>
  </si>
  <si>
    <t>Miscel-Amanat(costumes), Charity (veterans)</t>
  </si>
  <si>
    <t>Miscel-Freshmen Convacation</t>
  </si>
  <si>
    <t>Miscel-Independence Day</t>
  </si>
  <si>
    <t>Miscel-Government Internship Defence</t>
  </si>
  <si>
    <t>KIMEP Footbal League trip to Madrid, Spain</t>
  </si>
  <si>
    <t>KAFC - Flowers for veterans</t>
  </si>
  <si>
    <t>FALL 2014</t>
  </si>
  <si>
    <t>SAF BUDGET FOR FALL 2014</t>
  </si>
  <si>
    <t>date: November 25, 2014</t>
  </si>
  <si>
    <t>SAF BUDGET FOR SPRING 2014</t>
  </si>
  <si>
    <t>Exchnage Students Farewell Party</t>
  </si>
  <si>
    <t>SAF BUDGET FOR SPRING 2015</t>
  </si>
  <si>
    <t>SPRING 2015</t>
  </si>
  <si>
    <t>KISA - Farewell Party</t>
  </si>
  <si>
    <t>KISA - Welcome Party</t>
  </si>
  <si>
    <t>KISA - Ball Masquerade</t>
  </si>
  <si>
    <t>Kimep Friends - Sophomore</t>
  </si>
  <si>
    <t>KIMEP SWAG - Show Time</t>
  </si>
  <si>
    <t xml:space="preserve">KIMEP SWAG - Radiostation </t>
  </si>
  <si>
    <t xml:space="preserve">Elite  - Miss Kimep </t>
  </si>
  <si>
    <t>TedX - TedX</t>
  </si>
  <si>
    <t xml:space="preserve">KAFC  - Smartest Guy </t>
  </si>
  <si>
    <t xml:space="preserve">KFI - Kimep Top Model </t>
  </si>
  <si>
    <t>KIMEP TIMES - Poetry Night</t>
  </si>
  <si>
    <t xml:space="preserve">KIMEP LEGAL CLINIC  - Law case competition </t>
  </si>
  <si>
    <t>Art Revolution  - Spot the difference</t>
  </si>
  <si>
    <t>KASD   - Stars On Ice 2015</t>
  </si>
  <si>
    <t xml:space="preserve">KASD   - KFL </t>
  </si>
  <si>
    <t xml:space="preserve">AMANAT  - Kazakh Culture Week </t>
  </si>
  <si>
    <t xml:space="preserve">AMANAT  - Nauryz </t>
  </si>
  <si>
    <t>KIMEP EVENTS  - Lip dub</t>
  </si>
  <si>
    <t xml:space="preserve">KIMEP EVENTS  - KVN </t>
  </si>
  <si>
    <t>KIMEP LEGAL CLINIC  - Visit to AST Supreme Court</t>
  </si>
  <si>
    <t>KIMEP CHEERLEADERS - Costumes</t>
  </si>
  <si>
    <t>President Office - Dorm Reopening ceremony</t>
  </si>
  <si>
    <t>KIMEP FLY  - BrainUp</t>
  </si>
  <si>
    <t xml:space="preserve">KIMEP Curling Team  - Billiard Tournament </t>
  </si>
  <si>
    <t>KSA - KSA Case</t>
  </si>
  <si>
    <t>IDC  - IDC CUP 2015</t>
  </si>
  <si>
    <t xml:space="preserve">KSA  - KVN Tournament </t>
  </si>
  <si>
    <t>Student Affairs - Veterans day</t>
  </si>
  <si>
    <t>KIMEP PIE - MAGAZINE</t>
  </si>
  <si>
    <t>KSA - Eurasian Economic Youth Forum</t>
  </si>
  <si>
    <t>IDC - European Universities Debate Championship</t>
  </si>
  <si>
    <t>KSA - Graduation Ceremony (after party)</t>
  </si>
  <si>
    <t>KSA - Sport Day</t>
  </si>
  <si>
    <t>KIMEP ENTERTAINMENTS - World Health Day</t>
  </si>
  <si>
    <t>SAF BUDGET FOR FALL 2015</t>
  </si>
  <si>
    <t>date: October 27, 2015</t>
  </si>
  <si>
    <t>Students Magazine (KIMEP PIE)</t>
  </si>
  <si>
    <t>Hug the tree (KIMEP Tree)</t>
  </si>
  <si>
    <t>Poetry Night (Amant)</t>
  </si>
  <si>
    <t>Charity (Amanat)</t>
  </si>
  <si>
    <t>Mr. KIMEP 2015 (KISA)</t>
  </si>
  <si>
    <t>Miss KIMEP 2015 (KFI)</t>
  </si>
  <si>
    <t>Welcome Party (KISA)</t>
  </si>
  <si>
    <t>Farewell Party (KISA)</t>
  </si>
  <si>
    <t>Kazakh Day (KIMEP Fly)</t>
  </si>
  <si>
    <t>Sherlock (KIMEP Fly)</t>
  </si>
  <si>
    <t>KIOG (KIMEP Fly)</t>
  </si>
  <si>
    <t>Legal Clinic</t>
  </si>
  <si>
    <t>Fest (Art Revolution)</t>
  </si>
  <si>
    <t>Tenis (KASD)</t>
  </si>
  <si>
    <t>Stars on Ice (KASD)</t>
  </si>
  <si>
    <t>Football Chmapionship (KFL)</t>
  </si>
  <si>
    <t>Madi's Case (Debate)</t>
  </si>
  <si>
    <t>Poetry Night (KIMEP Times)</t>
  </si>
  <si>
    <t>Comedy Show (NK-Team)</t>
  </si>
  <si>
    <t>Radio (KIMEP SWAG)</t>
  </si>
  <si>
    <t>Talks (KIMEP SWAP)</t>
  </si>
  <si>
    <t>KIMEP Dorm</t>
  </si>
  <si>
    <t>Suits and Match (KIMEP TITANS)</t>
  </si>
  <si>
    <t>Open Hearts</t>
  </si>
  <si>
    <t>Commencement (KIMEP Friends)</t>
  </si>
  <si>
    <t>Convocation (KIMEP Friends)</t>
  </si>
  <si>
    <t>Dota 2 (KIMEP Elite)</t>
  </si>
  <si>
    <t>FALL 2015</t>
  </si>
  <si>
    <t>* Office of Enrollment Records data</t>
  </si>
  <si>
    <t>** Office of Budgeting and Planning data</t>
  </si>
  <si>
    <t>Competition for Corporate SMM</t>
  </si>
  <si>
    <t>Football Team Case - flight to Munich (KFT)</t>
  </si>
  <si>
    <t>MCW Youth Leadership Retreat</t>
  </si>
  <si>
    <t>eligible to pay*</t>
  </si>
  <si>
    <t>paid*</t>
  </si>
  <si>
    <t>ACTUAL**</t>
  </si>
  <si>
    <t>*date: January 18, 2016 by Enrollment Management</t>
  </si>
  <si>
    <t>KIMEP Blogs (equipment)</t>
  </si>
  <si>
    <t>Yerkezhan's Case (Debate)</t>
  </si>
  <si>
    <t>**date: January 19, 2016 by Finance Office</t>
  </si>
  <si>
    <t>Moscow Conference</t>
  </si>
  <si>
    <t>SAF BUDGET FOR SPRING 2016</t>
  </si>
  <si>
    <t>Earthday celebration (KIMEP Tree)</t>
  </si>
  <si>
    <t>Poetry evening and cultural week (Amant)</t>
  </si>
  <si>
    <t>Valentines Day (KIMEP Elite)</t>
  </si>
  <si>
    <t>KVN (KIMEP Events)</t>
  </si>
  <si>
    <t>International day (KISA)</t>
  </si>
  <si>
    <t>Dean's Cup (moot Court)</t>
  </si>
  <si>
    <t>KIMEP Cup (IDC)</t>
  </si>
  <si>
    <t>Excellemce Award (Honor society)</t>
  </si>
  <si>
    <t>Exhibition (Art Revolution)</t>
  </si>
  <si>
    <t>Golden Middle (KIMEP Pie)</t>
  </si>
  <si>
    <t>Football Championship (KFL)</t>
  </si>
  <si>
    <t>Youth in Law (Madi's case)</t>
  </si>
  <si>
    <t>Start up project (KIMEP doors)</t>
  </si>
  <si>
    <t>The smartest guy in the room (KAFC)</t>
  </si>
  <si>
    <t>Business case championship (K Case Club)</t>
  </si>
  <si>
    <t>Suits and match (KIMEP Titans)</t>
  </si>
  <si>
    <t>Make a child's wish (Open hearts)</t>
  </si>
  <si>
    <t>Stand Up Show (KIMEP Comedy)</t>
  </si>
  <si>
    <t>Family Day (KIMEP Friends)</t>
  </si>
  <si>
    <t>KADA Concert (KADA)</t>
  </si>
  <si>
    <t>PA Case Club</t>
  </si>
  <si>
    <t>KFI Top Model (KFI)</t>
  </si>
  <si>
    <t>SPRING 2016</t>
  </si>
  <si>
    <t>SAF BUDGET FOR FALL 2016</t>
  </si>
  <si>
    <t>APPROVED</t>
  </si>
  <si>
    <t>APPORVED</t>
  </si>
  <si>
    <t>Recycling (KIMEP Tree)</t>
  </si>
  <si>
    <t>Open Air Movie (KIMEP Tree)</t>
  </si>
  <si>
    <t>Picnic (KASD)</t>
  </si>
  <si>
    <t>Mr. Kimep 2017 (KISA)</t>
  </si>
  <si>
    <t>Miss KIMEP 2017 (KFI)</t>
  </si>
  <si>
    <t>Sherlock (KAFC)</t>
  </si>
  <si>
    <t>Breaking Brain (Viktorina)</t>
  </si>
  <si>
    <t>Public Speaking (IDC)</t>
  </si>
  <si>
    <t>Dean's Cup (moot court)</t>
  </si>
  <si>
    <t>Model student congress (IDC)</t>
  </si>
  <si>
    <t>KIMEP Comedy uniform</t>
  </si>
  <si>
    <t>Talks (KIMEP SWAG)</t>
  </si>
  <si>
    <t>Freshman Guidebook (KIMEP Pie)</t>
  </si>
  <si>
    <t>Equipment (KIMEP Blogs)</t>
  </si>
  <si>
    <t>FALL 2016</t>
  </si>
  <si>
    <t>Orchestra (Amanat)</t>
  </si>
  <si>
    <t>*date: November 10, 2016 by Enrollment Management</t>
  </si>
  <si>
    <t>International Day (KISA)</t>
  </si>
  <si>
    <t>Uniform (KIMEP Queens)</t>
  </si>
  <si>
    <t>Football Tournament (KFL)</t>
  </si>
  <si>
    <t>Rehearsal base (KADA)</t>
  </si>
  <si>
    <t>**date: December 6, 2016 by Finance Office</t>
  </si>
  <si>
    <t>SAF BUDGET FOR SPRING 2017</t>
  </si>
  <si>
    <t>** January 13, 2017 by Finance Office</t>
  </si>
  <si>
    <t>Student Magazine (KIMEP PIE)</t>
  </si>
  <si>
    <t>Free Market (KIMEP Tree  Huggers)</t>
  </si>
  <si>
    <t>Scavenger Hunt (KIMEP Tree Huggers)</t>
  </si>
  <si>
    <t>Flower Garden (KIMEP Tree Huggers)</t>
  </si>
  <si>
    <t>KIMEP Titans</t>
  </si>
  <si>
    <t>KIMEP Big Job Fair (Door)</t>
  </si>
  <si>
    <t>The Smartest Guy in the Room (KAFC)</t>
  </si>
  <si>
    <t>Rehearsal Base (KADA)</t>
  </si>
  <si>
    <t>Dota 2 Challenge (GSC)</t>
  </si>
  <si>
    <t>Uniform (KIMEP Comedy)</t>
  </si>
  <si>
    <t>TOP Model (KFI)</t>
  </si>
  <si>
    <t>EXPO (BIS)</t>
  </si>
  <si>
    <t>Farewell Party (BIS)</t>
  </si>
  <si>
    <t>Poetry Evenings (Amanat)</t>
  </si>
  <si>
    <t>Cinderella (KELT)</t>
  </si>
  <si>
    <t>Ball Masquerade (KISA)</t>
  </si>
  <si>
    <t>Magazine (RIOT)</t>
  </si>
  <si>
    <t>JESSUP (Moot Court)</t>
  </si>
  <si>
    <t>Best Room (Dormitory)</t>
  </si>
  <si>
    <t>Soccer Balls (Independent Students)</t>
  </si>
  <si>
    <t>Alumni Association (KIMEP Events)</t>
  </si>
  <si>
    <t>Cooking Day (Dormitory)</t>
  </si>
  <si>
    <t>Banners (KSA)</t>
  </si>
  <si>
    <t>Teambuilding (DORM)</t>
  </si>
  <si>
    <t>Nature trip (DORM)</t>
  </si>
  <si>
    <t>Sport Day (DORM)</t>
  </si>
  <si>
    <t>Book Swapping (BLOGS)</t>
  </si>
  <si>
    <t>kada Annual Concert (KADA)</t>
  </si>
  <si>
    <t>PROJECTION</t>
  </si>
  <si>
    <t>SPRING 2017</t>
  </si>
  <si>
    <t>IDC Cup (IDC)</t>
  </si>
  <si>
    <t>* April 28, 2017 by Enrollment Management</t>
  </si>
  <si>
    <t>Sophomore (KIMEP Friends)</t>
  </si>
  <si>
    <t>Mind Games (KIMEP Spirit)</t>
  </si>
  <si>
    <t>Soccer Challenge (KFL)</t>
  </si>
  <si>
    <t>** September 14, 2017 by Finance Office</t>
  </si>
  <si>
    <t>FALL 2017</t>
  </si>
  <si>
    <t>SAF BUDGET FOR FALL 2017</t>
  </si>
  <si>
    <t>Fall in Fest (Art Revolution)</t>
  </si>
  <si>
    <t>Mr &amp; Ms KIMEP (KISA &amp; KFI)</t>
  </si>
  <si>
    <t>Magazine (KIMEP PIE)</t>
  </si>
  <si>
    <t>Football (KASD)</t>
  </si>
  <si>
    <t>Tennis (KASD)</t>
  </si>
  <si>
    <t>Dota 2 Competition (GSC)</t>
  </si>
  <si>
    <t>Different Projects (KIMEP DORM)</t>
  </si>
  <si>
    <t>Washing Service (AMANAT)</t>
  </si>
  <si>
    <t>Welcome Party (KIMEP DORM)</t>
  </si>
  <si>
    <t>Halloween (KIMEP DORM)</t>
  </si>
  <si>
    <t>Mini KVN (KIMEP DORM)</t>
  </si>
  <si>
    <t>New Year (KIMEP DORM)</t>
  </si>
  <si>
    <t>T-Shirts (KIMEP PIE)</t>
  </si>
  <si>
    <t>T-Shirts (RIOT)</t>
  </si>
  <si>
    <t>Dombra Party (Amanat)</t>
  </si>
  <si>
    <t>Costumes (Amanat)</t>
  </si>
  <si>
    <t>Country Day (BIS)</t>
  </si>
  <si>
    <t>International Students Day (BIS)</t>
  </si>
  <si>
    <t>Farewel Party (BIS)</t>
  </si>
  <si>
    <t>Clean up of Botanical Garden (Tree Huggers)</t>
  </si>
  <si>
    <t>Recycling Week (Tree Huggers)</t>
  </si>
  <si>
    <t>Little Free Library (Tree Huggers)</t>
  </si>
  <si>
    <t>Scavenger Hunt (Tree Huggers)</t>
  </si>
  <si>
    <t>Open Cup (KFT)</t>
  </si>
  <si>
    <t>Football in Barcelona (KFT)</t>
  </si>
  <si>
    <t>KIMEP Cinema (Movie Competition)</t>
  </si>
  <si>
    <t>Stand Up Show (Comedy)</t>
  </si>
  <si>
    <t>Gotcha (KIMEP Friends)</t>
  </si>
  <si>
    <t>SAF BUDGET FOR SPRING 2018</t>
  </si>
  <si>
    <t>* January 12, 2018 by Enrollment Management</t>
  </si>
  <si>
    <t>**  by Finance Office</t>
  </si>
  <si>
    <t>SPRING 2018</t>
  </si>
  <si>
    <t>Art Exhibition (Art Revolution)</t>
  </si>
  <si>
    <t>Top Model (KFI)</t>
  </si>
  <si>
    <t>Open Air Concert (KADA)</t>
  </si>
  <si>
    <t>Magazine (Riot)</t>
  </si>
  <si>
    <t>Night Ice Skating (KASD)</t>
  </si>
  <si>
    <t>Chess Tournament (KAFC)</t>
  </si>
  <si>
    <t>Holmes Quest (KAFC)</t>
  </si>
  <si>
    <t>Debate Academy (IDC)</t>
  </si>
  <si>
    <t>Cooking Day (Dorm)</t>
  </si>
  <si>
    <t>Sport Day (Dorm)</t>
  </si>
  <si>
    <t>Trip to Nature (Dorm)</t>
  </si>
  <si>
    <t>Poetry Evening (Amanat)</t>
  </si>
  <si>
    <t>Welcome Party (BIS)</t>
  </si>
  <si>
    <t>Country Days (BIS)</t>
  </si>
  <si>
    <t>Nauryz International Expo (BIS)</t>
  </si>
  <si>
    <t>Open Air Movie (Tree Huggers)</t>
  </si>
  <si>
    <t>Free Market (Tree Huggers)</t>
  </si>
  <si>
    <t>Student Government</t>
  </si>
  <si>
    <t>Football Tournament (International Students)</t>
  </si>
  <si>
    <t>** January 23, 2018 by Finance Office</t>
  </si>
  <si>
    <t>KFI Website</t>
  </si>
  <si>
    <t>Riot Books</t>
  </si>
  <si>
    <t>Best Room (Dorm)</t>
  </si>
  <si>
    <t>Chto? Gde? Kogda? (Dorm)</t>
  </si>
  <si>
    <t>KIMEP Cinema</t>
  </si>
  <si>
    <t>GCS FIFA 2018</t>
  </si>
  <si>
    <t>Sensation (KISA)</t>
  </si>
  <si>
    <t>Sweatshirts by SG</t>
  </si>
  <si>
    <t>Trip to Kayindy (Dorm)</t>
  </si>
  <si>
    <t>SAF BUDGET FOR FALL 2018</t>
  </si>
  <si>
    <t>FALL 2018</t>
  </si>
  <si>
    <t>Miss KIMEP (KFI)</t>
  </si>
  <si>
    <t>Mini KVN (Residence)</t>
  </si>
  <si>
    <t>Welcome Party (Residence)</t>
  </si>
  <si>
    <t>New Year (Residence)</t>
  </si>
  <si>
    <t>Halloween (Residence)</t>
  </si>
  <si>
    <t>Sherlock Holmes Quest (KAFC)</t>
  </si>
  <si>
    <t>Mr. KIMEP (KISA)</t>
  </si>
  <si>
    <t>Planting Tree (Tree Huggers)</t>
  </si>
  <si>
    <t>Small Mini Library (Tree Huggers)</t>
  </si>
  <si>
    <t>SAF BUDGET FOR SPRING 2019</t>
  </si>
  <si>
    <t>**  February 11, 2019 by Finance Office</t>
  </si>
  <si>
    <t>Office Expenses (KSA)</t>
  </si>
  <si>
    <t>Trip to Altyn Emel (Dorm)</t>
  </si>
  <si>
    <t>International EXPO (BIS)</t>
  </si>
  <si>
    <t>Cinema Club (Geeks)</t>
  </si>
  <si>
    <t>Pre-EDUC Kimep Cup (IDC)</t>
  </si>
  <si>
    <t>Equipment (Kimep Voice)</t>
  </si>
  <si>
    <t>Charity Auction (Kimep Voice)</t>
  </si>
  <si>
    <t>Dota 2 (GCS)</t>
  </si>
  <si>
    <t>Equipment (Campit)</t>
  </si>
  <si>
    <t>Gotcha (Kimep Friends)</t>
  </si>
  <si>
    <t>Open Air (KADA)</t>
  </si>
  <si>
    <t>Art &amp; Photo Exhibition (Art Revolution)</t>
  </si>
  <si>
    <t>Cinema Verite (KIMEP Cinema)</t>
  </si>
  <si>
    <t>Pizza Party (Dorm)</t>
  </si>
  <si>
    <t>Rehearsal Base: reconstruction (KADA &amp; Art Revolution)</t>
  </si>
  <si>
    <t>Chess Tornament (KCT)</t>
  </si>
  <si>
    <t>SPRING 2019</t>
  </si>
  <si>
    <t>* February 11, 2019 by Enrollment Management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</si>
</sst>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T&quot;;\-#,##0&quot;T&quot;"/>
    <numFmt numFmtId="189" formatCode="#,##0&quot;T&quot;;[Red]\-#,##0&quot;T&quot;"/>
    <numFmt numFmtId="190" formatCode="#,##0.00&quot;T&quot;;\-#,##0.00&quot;T&quot;"/>
    <numFmt numFmtId="191" formatCode="#,##0.00&quot;T&quot;;[Red]\-#,##0.00&quot;T&quot;"/>
    <numFmt numFmtId="192" formatCode="_-* #,##0&quot;T&quot;_-;\-* #,##0&quot;T&quot;_-;_-* &quot;-&quot;&quot;T&quot;_-;_-@_-"/>
    <numFmt numFmtId="193" formatCode="_-* #,##0_T_-;\-* #,##0_T_-;_-* &quot;-&quot;_T_-;_-@_-"/>
    <numFmt numFmtId="194" formatCode="_-* #,##0.00&quot;T&quot;_-;\-* #,##0.00&quot;T&quot;_-;_-* &quot;-&quot;??&quot;T&quot;_-;_-@_-"/>
    <numFmt numFmtId="195" formatCode="_-* #,##0.00_T_-;\-* #,##0.00_T_-;_-* &quot;-&quot;??_T_-;_-@_-"/>
    <numFmt numFmtId="196" formatCode="_([$KZT]\ * #,##0.00_);_([$KZT]\ * \(#,##0.00\);_([$KZT]\ 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  <numFmt numFmtId="202" formatCode="_-* #,##0.00\ [$KZT]_-;\-* #,##0.00\ [$KZT]_-;_-* &quot;-&quot;??\ [$KZT]_-;_-@_-"/>
    <numFmt numFmtId="203" formatCode="[$KZT]\ #,##0.00;[$KZT]\ \(#,##0.00\)"/>
    <numFmt numFmtId="204" formatCode="#,##0.00;\-#,##0.00\ [$KZT]"/>
    <numFmt numFmtId="205" formatCode="[$KZT]\ #,##0.00"/>
    <numFmt numFmtId="206" formatCode="[$-409]h:mm:ss\ AM/PM"/>
    <numFmt numFmtId="207" formatCode="[$-409]dddd\,\ mmmm\ dd\,\ yyyy"/>
    <numFmt numFmtId="208" formatCode="[$KZT]\ #,##0.00_);\([$KZT]\ #,##0.00\)"/>
    <numFmt numFmtId="209" formatCode="#,##0.00\ [$KZT]"/>
  </numFmts>
  <fonts count="5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b/>
      <sz val="8"/>
      <color indexed="21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Verdana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" borderId="1" applyNumberFormat="0" applyAlignment="0" applyProtection="0"/>
    <xf numFmtId="0" fontId="4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" borderId="1" applyNumberFormat="0" applyAlignment="0" applyProtection="0"/>
    <xf numFmtId="0" fontId="52" fillId="0" borderId="6" applyNumberFormat="0" applyFill="0" applyAlignment="0" applyProtection="0"/>
    <xf numFmtId="0" fontId="53" fillId="8" borderId="0" applyNumberFormat="0" applyBorder="0" applyAlignment="0" applyProtection="0"/>
    <xf numFmtId="0" fontId="13" fillId="0" borderId="0">
      <alignment vertical="top"/>
      <protection/>
    </xf>
    <xf numFmtId="0" fontId="0" fillId="4" borderId="7" applyNumberFormat="0" applyFont="0" applyAlignment="0" applyProtection="0"/>
    <xf numFmtId="0" fontId="54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6" fontId="8" fillId="0" borderId="10" xfId="42" applyNumberFormat="1" applyFont="1" applyFill="1" applyBorder="1" applyAlignment="1">
      <alignment/>
    </xf>
    <xf numFmtId="0" fontId="11" fillId="0" borderId="0" xfId="0" applyFont="1" applyAlignment="1">
      <alignment horizontal="left" indent="1"/>
    </xf>
    <xf numFmtId="196" fontId="10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Alignment="1">
      <alignment horizontal="left" indent="1"/>
    </xf>
    <xf numFmtId="196" fontId="12" fillId="0" borderId="0" xfId="0" applyNumberFormat="1" applyFont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0" fillId="0" borderId="0" xfId="0" applyNumberFormat="1" applyAlignment="1">
      <alignment/>
    </xf>
    <xf numFmtId="196" fontId="0" fillId="0" borderId="0" xfId="0" applyNumberFormat="1" applyAlignment="1">
      <alignment/>
    </xf>
    <xf numFmtId="19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43" fontId="0" fillId="0" borderId="0" xfId="42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3" fontId="0" fillId="0" borderId="0" xfId="42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9" fontId="20" fillId="0" borderId="0" xfId="61" applyFont="1" applyAlignment="1">
      <alignment horizontal="center" vertical="center"/>
    </xf>
    <xf numFmtId="9" fontId="21" fillId="0" borderId="0" xfId="61" applyFont="1" applyAlignment="1">
      <alignment horizontal="center" vertical="center"/>
    </xf>
    <xf numFmtId="9" fontId="20" fillId="0" borderId="0" xfId="61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196" fontId="15" fillId="0" borderId="0" xfId="0" applyNumberFormat="1" applyFont="1" applyAlignment="1">
      <alignment horizontal="center"/>
    </xf>
    <xf numFmtId="0" fontId="22" fillId="17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/>
    </xf>
    <xf numFmtId="196" fontId="9" fillId="0" borderId="0" xfId="0" applyNumberFormat="1" applyFont="1" applyFill="1" applyAlignment="1">
      <alignment/>
    </xf>
    <xf numFmtId="196" fontId="24" fillId="0" borderId="0" xfId="0" applyNumberFormat="1" applyFont="1" applyFill="1" applyAlignment="1">
      <alignment/>
    </xf>
    <xf numFmtId="196" fontId="8" fillId="0" borderId="0" xfId="42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196" fontId="9" fillId="0" borderId="0" xfId="42" applyNumberFormat="1" applyFont="1" applyFill="1" applyBorder="1" applyAlignment="1">
      <alignment/>
    </xf>
    <xf numFmtId="196" fontId="25" fillId="18" borderId="0" xfId="42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96" fontId="15" fillId="0" borderId="0" xfId="0" applyNumberFormat="1" applyFont="1" applyAlignment="1">
      <alignment horizontal="center" vertical="center"/>
    </xf>
    <xf numFmtId="196" fontId="16" fillId="0" borderId="0" xfId="0" applyNumberFormat="1" applyFont="1" applyAlignment="1">
      <alignment horizontal="center" vertical="center" wrapText="1"/>
    </xf>
    <xf numFmtId="43" fontId="26" fillId="0" borderId="0" xfId="42" applyFont="1" applyAlignment="1">
      <alignment/>
    </xf>
    <xf numFmtId="9" fontId="0" fillId="0" borderId="0" xfId="0" applyNumberFormat="1" applyAlignment="1">
      <alignment/>
    </xf>
    <xf numFmtId="0" fontId="13" fillId="0" borderId="0" xfId="0" applyFont="1" applyAlignment="1">
      <alignment/>
    </xf>
    <xf numFmtId="0" fontId="28" fillId="0" borderId="0" xfId="0" applyFont="1" applyAlignment="1">
      <alignment/>
    </xf>
    <xf numFmtId="179" fontId="28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79" fontId="13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79" fontId="28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203" fontId="8" fillId="0" borderId="10" xfId="0" applyNumberFormat="1" applyFont="1" applyBorder="1" applyAlignment="1">
      <alignment/>
    </xf>
    <xf numFmtId="203" fontId="8" fillId="0" borderId="13" xfId="0" applyNumberFormat="1" applyFont="1" applyBorder="1" applyAlignment="1">
      <alignment/>
    </xf>
    <xf numFmtId="203" fontId="8" fillId="0" borderId="14" xfId="0" applyNumberFormat="1" applyFont="1" applyBorder="1" applyAlignment="1">
      <alignment/>
    </xf>
    <xf numFmtId="203" fontId="8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203" fontId="25" fillId="18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9" fontId="20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203" fontId="3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/>
    </xf>
    <xf numFmtId="203" fontId="2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179" fontId="30" fillId="0" borderId="0" xfId="0" applyNumberFormat="1" applyFont="1" applyAlignment="1">
      <alignment/>
    </xf>
    <xf numFmtId="203" fontId="34" fillId="0" borderId="0" xfId="0" applyNumberFormat="1" applyFont="1" applyAlignment="1">
      <alignment/>
    </xf>
    <xf numFmtId="203" fontId="29" fillId="0" borderId="0" xfId="0" applyNumberFormat="1" applyFont="1" applyAlignment="1">
      <alignment/>
    </xf>
    <xf numFmtId="203" fontId="28" fillId="0" borderId="0" xfId="0" applyNumberFormat="1" applyFont="1" applyAlignment="1">
      <alignment horizontal="right" vertical="center" wrapText="1"/>
    </xf>
    <xf numFmtId="203" fontId="28" fillId="0" borderId="0" xfId="0" applyNumberFormat="1" applyFont="1" applyAlignment="1">
      <alignment horizontal="right" vertical="center"/>
    </xf>
    <xf numFmtId="205" fontId="32" fillId="0" borderId="0" xfId="0" applyNumberFormat="1" applyFont="1" applyAlignment="1">
      <alignment/>
    </xf>
    <xf numFmtId="203" fontId="10" fillId="0" borderId="0" xfId="0" applyNumberFormat="1" applyFont="1" applyAlignment="1">
      <alignment/>
    </xf>
    <xf numFmtId="203" fontId="28" fillId="0" borderId="0" xfId="0" applyNumberFormat="1" applyFont="1" applyAlignment="1">
      <alignment horizontal="right"/>
    </xf>
    <xf numFmtId="203" fontId="28" fillId="0" borderId="0" xfId="0" applyNumberFormat="1" applyFont="1" applyAlignment="1">
      <alignment horizontal="center" vertical="center"/>
    </xf>
    <xf numFmtId="203" fontId="25" fillId="18" borderId="0" xfId="0" applyNumberFormat="1" applyFont="1" applyFill="1" applyAlignment="1">
      <alignment/>
    </xf>
    <xf numFmtId="203" fontId="32" fillId="0" borderId="0" xfId="0" applyNumberFormat="1" applyFont="1" applyAlignment="1">
      <alignment horizontal="center" vertical="center"/>
    </xf>
    <xf numFmtId="203" fontId="28" fillId="0" borderId="0" xfId="0" applyNumberFormat="1" applyFont="1" applyAlignment="1">
      <alignment/>
    </xf>
    <xf numFmtId="203" fontId="32" fillId="0" borderId="0" xfId="0" applyNumberFormat="1" applyFont="1" applyAlignment="1">
      <alignment/>
    </xf>
    <xf numFmtId="203" fontId="25" fillId="0" borderId="0" xfId="0" applyNumberFormat="1" applyFont="1" applyAlignment="1">
      <alignment/>
    </xf>
    <xf numFmtId="0" fontId="28" fillId="0" borderId="0" xfId="0" applyFont="1" applyAlignment="1">
      <alignment/>
    </xf>
    <xf numFmtId="17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9" fillId="0" borderId="0" xfId="0" applyFont="1" applyAlignment="1">
      <alignment/>
    </xf>
    <xf numFmtId="203" fontId="29" fillId="0" borderId="0" xfId="0" applyNumberFormat="1" applyFont="1" applyAlignment="1">
      <alignment/>
    </xf>
    <xf numFmtId="205" fontId="10" fillId="0" borderId="0" xfId="0" applyNumberFormat="1" applyFont="1" applyAlignment="1">
      <alignment/>
    </xf>
    <xf numFmtId="205" fontId="30" fillId="0" borderId="0" xfId="0" applyNumberFormat="1" applyFont="1" applyAlignment="1">
      <alignment horizontal="center" vertical="center" wrapText="1"/>
    </xf>
    <xf numFmtId="203" fontId="2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9" fontId="13" fillId="0" borderId="0" xfId="61" applyFont="1" applyAlignment="1">
      <alignment/>
    </xf>
    <xf numFmtId="203" fontId="3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203" fontId="2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/>
    </xf>
    <xf numFmtId="0" fontId="16" fillId="19" borderId="0" xfId="0" applyFont="1" applyFill="1" applyAlignment="1">
      <alignment horizontal="center"/>
    </xf>
    <xf numFmtId="179" fontId="28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203" fontId="9" fillId="0" borderId="0" xfId="0" applyNumberFormat="1" applyFont="1" applyFill="1" applyAlignment="1">
      <alignment/>
    </xf>
    <xf numFmtId="208" fontId="28" fillId="0" borderId="0" xfId="0" applyNumberFormat="1" applyFont="1" applyAlignment="1">
      <alignment/>
    </xf>
    <xf numFmtId="208" fontId="29" fillId="0" borderId="0" xfId="0" applyNumberFormat="1" applyFont="1" applyAlignment="1">
      <alignment/>
    </xf>
    <xf numFmtId="0" fontId="27" fillId="2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96" fontId="25" fillId="18" borderId="0" xfId="42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203" fontId="25" fillId="18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8"/>
          <c:y val="0.19"/>
          <c:w val="0.5945"/>
          <c:h val="0.9545"/>
        </c:manualLayout>
      </c:layout>
      <c:pieChart>
        <c:varyColors val="1"/>
        <c:ser>
          <c:idx val="0"/>
          <c:order val="0"/>
          <c:tx>
            <c:strRef>
              <c:f>'FALL 2011'!$K$9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2011'!$I$10:$I$13</c:f>
              <c:strCache/>
            </c:strRef>
          </c:cat>
          <c:val>
            <c:numRef>
              <c:f>'FALL 2011'!$K$10:$K$13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413"/>
          <c:y val="0.2135"/>
          <c:w val="0.43025"/>
          <c:h val="0.9075"/>
        </c:manualLayout>
      </c:layout>
      <c:pieChart>
        <c:varyColors val="1"/>
        <c:ser>
          <c:idx val="0"/>
          <c:order val="0"/>
          <c:tx>
            <c:strRef>
              <c:f>'FALL 2013'!$L$13</c:f>
              <c:strCache>
                <c:ptCount val="1"/>
                <c:pt idx="0">
                  <c:v>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2013'!$J$14:$J$18</c:f>
              <c:strCache/>
            </c:strRef>
          </c:cat>
          <c:val>
            <c:numRef>
              <c:f>'FALL 2013'!$L$14:$L$18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4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6725"/>
          <c:y val="0.1825"/>
          <c:w val="0.51825"/>
          <c:h val="0.947"/>
        </c:manualLayout>
      </c:layout>
      <c:pieChart>
        <c:varyColors val="1"/>
        <c:ser>
          <c:idx val="0"/>
          <c:order val="0"/>
          <c:tx>
            <c:strRef>
              <c:f>'FALL 2013'!$P$13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2013'!$J$14:$J$18</c:f>
              <c:strCache/>
            </c:strRef>
          </c:cat>
          <c:val>
            <c:numRef>
              <c:f>'FALL 2013'!$P$14:$P$18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6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475"/>
          <c:y val="0.19475"/>
          <c:w val="0.50675"/>
          <c:h val="0.935"/>
        </c:manualLayout>
      </c:layout>
      <c:pieChart>
        <c:varyColors val="1"/>
        <c:ser>
          <c:idx val="0"/>
          <c:order val="0"/>
          <c:tx>
            <c:strRef>
              <c:f>'FALL 2013'!$N$13</c:f>
              <c:strCache>
                <c:ptCount val="1"/>
                <c:pt idx="0">
                  <c:v>REVIEWED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2013'!$J$14:$J$18</c:f>
              <c:strCache/>
            </c:strRef>
          </c:cat>
          <c:val>
            <c:numRef>
              <c:f>'FALL 2013'!$N$14:$N$18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625"/>
          <c:y val="0.18975"/>
          <c:w val="0.581"/>
          <c:h val="0.94875"/>
        </c:manualLayout>
      </c:layout>
      <c:pieChart>
        <c:varyColors val="1"/>
        <c:ser>
          <c:idx val="0"/>
          <c:order val="0"/>
          <c:tx>
            <c:strRef>
              <c:f>'SPRING 2012 (DO NOT CLICK)'!$J$12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2012 (DO NOT CLICK)'!$H$13:$H$17</c:f>
              <c:strCache/>
            </c:strRef>
          </c:cat>
          <c:val>
            <c:numRef>
              <c:f>'SPRING 2012 (DO NOT CLICK)'!$J$13:$J$17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425"/>
          <c:y val="0.19175"/>
          <c:w val="0.58175"/>
          <c:h val="0.94425"/>
        </c:manualLayout>
      </c:layout>
      <c:pieChart>
        <c:varyColors val="1"/>
        <c:ser>
          <c:idx val="0"/>
          <c:order val="0"/>
          <c:tx>
            <c:strRef>
              <c:f>'SPRING 2012 (DO NOT CLICK)'!$L$12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2012 (DO NOT CLICK)'!$H$13:$H$17</c:f>
              <c:strCache/>
            </c:strRef>
          </c:cat>
          <c:val>
            <c:numRef>
              <c:f>'SPRING 2012 (DO NOT CLICK)'!$L$13:$L$17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2225"/>
          <c:w val="0.5525"/>
          <c:h val="0.68775"/>
        </c:manualLayout>
      </c:layout>
      <c:pie3DChart>
        <c:varyColors val="1"/>
        <c:ser>
          <c:idx val="0"/>
          <c:order val="0"/>
          <c:tx>
            <c:v>REQUESTED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'SPRING 2014'!$I$16:$I$20</c:f>
              <c:strCache/>
            </c:strRef>
          </c:cat>
          <c:val>
            <c:numRef>
              <c:f>'SPRING 2014'!$K$16:$K$20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75"/>
          <c:y val="0.36175"/>
          <c:w val="0.18975"/>
          <c:h val="0.4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2335"/>
          <c:w val="0.55125"/>
          <c:h val="0.671"/>
        </c:manualLayout>
      </c:layout>
      <c:pie3DChart>
        <c:varyColors val="1"/>
        <c:ser>
          <c:idx val="0"/>
          <c:order val="0"/>
          <c:tx>
            <c:v>REVIEWED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'SPRING 2014'!$I$16:$I$20</c:f>
              <c:strCache/>
            </c:strRef>
          </c:cat>
          <c:val>
            <c:numRef>
              <c:f>'SPRING 2014'!$M$16:$M$20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95"/>
          <c:y val="0.36175"/>
          <c:w val="0.19025"/>
          <c:h val="0.4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655"/>
          <c:w val="0.61825"/>
          <c:h val="0.66075"/>
        </c:manualLayout>
      </c:layout>
      <c:pie3DChart>
        <c:varyColors val="1"/>
        <c:ser>
          <c:idx val="0"/>
          <c:order val="0"/>
          <c:tx>
            <c:v>ACTUAL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'SPRING 2014'!$I$16:$I$20</c:f>
              <c:strCache/>
            </c:strRef>
          </c:cat>
          <c:val>
            <c:numRef>
              <c:f>'SPRING 2014'!$O$16:$O$20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875"/>
          <c:y val="0.3705"/>
          <c:w val="0.18625"/>
          <c:h val="0.3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238"/>
          <c:w val="0.54875"/>
          <c:h val="0.666"/>
        </c:manualLayout>
      </c:layout>
      <c:pie3DChart>
        <c:varyColors val="1"/>
        <c:ser>
          <c:idx val="0"/>
          <c:order val="0"/>
          <c:tx>
            <c:v>REQUESTED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'FALL 2014'!$I$14:$I$18</c:f>
              <c:strCache/>
            </c:strRef>
          </c:cat>
          <c:val>
            <c:numRef>
              <c:f>'FALL 2014'!$K$14:$K$18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75"/>
          <c:y val="0.36675"/>
          <c:w val="0.18975"/>
          <c:h val="0.4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2335"/>
          <c:w val="0.55125"/>
          <c:h val="0.671"/>
        </c:manualLayout>
      </c:layout>
      <c:pie3DChart>
        <c:varyColors val="1"/>
        <c:ser>
          <c:idx val="0"/>
          <c:order val="0"/>
          <c:tx>
            <c:v>REVIEWED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'FALL 2014'!$I$14:$I$18</c:f>
              <c:strCache/>
            </c:strRef>
          </c:cat>
          <c:val>
            <c:numRef>
              <c:f>'FALL 2014'!$M$14:$M$18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95"/>
          <c:y val="0.36175"/>
          <c:w val="0.19025"/>
          <c:h val="0.4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625"/>
          <c:y val="0.18975"/>
          <c:w val="0.581"/>
          <c:h val="0.94875"/>
        </c:manualLayout>
      </c:layout>
      <c:pieChart>
        <c:varyColors val="1"/>
        <c:ser>
          <c:idx val="0"/>
          <c:order val="0"/>
          <c:tx>
            <c:strRef>
              <c:f>'SPRING 2012'!$J$12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2012'!$H$13:$H$17</c:f>
              <c:strCache/>
            </c:strRef>
          </c:cat>
          <c:val>
            <c:numRef>
              <c:f>'SPRING 2012'!$J$13:$J$17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6275"/>
          <c:w val="0.61825"/>
          <c:h val="0.669"/>
        </c:manualLayout>
      </c:layout>
      <c:pie3DChart>
        <c:varyColors val="1"/>
        <c:ser>
          <c:idx val="0"/>
          <c:order val="0"/>
          <c:tx>
            <c:v>ACTUAL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'FALL 2014'!$I$14:$I$18</c:f>
              <c:strCache/>
            </c:strRef>
          </c:cat>
          <c:val>
            <c:numRef>
              <c:f>'FALL 2014'!$O$14:$O$18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9275"/>
          <c:y val="0.38425"/>
          <c:w val="0.18625"/>
          <c:h val="0.3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7425"/>
          <c:w val="0.8355"/>
          <c:h val="0.747"/>
        </c:manualLayout>
      </c:layout>
      <c:pie3DChart>
        <c:varyColors val="1"/>
        <c:ser>
          <c:idx val="0"/>
          <c:order val="0"/>
          <c:tx>
            <c:strRef>
              <c:f>'SPRING 2015'!$M$13</c:f>
              <c:strCache>
                <c:ptCount val="1"/>
                <c:pt idx="0">
                  <c:v>REVIEWED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2015'!$I$14:$I$18</c:f>
              <c:strCache/>
            </c:strRef>
          </c:cat>
          <c:val>
            <c:numRef>
              <c:f>'SPRING 2015'!$M$14:$M$18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6025"/>
          <c:w val="0.83525"/>
          <c:h val="0.7615"/>
        </c:manualLayout>
      </c:layout>
      <c:pie3DChart>
        <c:varyColors val="1"/>
        <c:ser>
          <c:idx val="0"/>
          <c:order val="0"/>
          <c:tx>
            <c:strRef>
              <c:f>'SPRING 2015'!$O$13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2015'!$I$14:$I$18</c:f>
              <c:strCache/>
            </c:strRef>
          </c:cat>
          <c:val>
            <c:numRef>
              <c:f>'SPRING 2015'!$O$14:$O$18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76"/>
          <c:w val="0.8355"/>
          <c:h val="0.74375"/>
        </c:manualLayout>
      </c:layout>
      <c:pie3DChart>
        <c:varyColors val="1"/>
        <c:ser>
          <c:idx val="0"/>
          <c:order val="0"/>
          <c:tx>
            <c:strRef>
              <c:f>'FALL 2015'!$M$14</c:f>
              <c:strCache>
                <c:ptCount val="1"/>
                <c:pt idx="0">
                  <c:v>REVIEWED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2015'!$I$15:$I$19</c:f>
              <c:strCache/>
            </c:strRef>
          </c:cat>
          <c:val>
            <c:numRef>
              <c:f>'FALL 2015'!$M$15:$M$19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7975"/>
          <c:w val="0.83525"/>
          <c:h val="0.73875"/>
        </c:manualLayout>
      </c:layout>
      <c:pie3DChart>
        <c:varyColors val="1"/>
        <c:ser>
          <c:idx val="0"/>
          <c:order val="0"/>
          <c:tx>
            <c:strRef>
              <c:f>'FALL 2015'!$O$14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2015'!$I$15:$I$19</c:f>
              <c:strCache/>
            </c:strRef>
          </c:cat>
          <c:val>
            <c:numRef>
              <c:f>'FALL 2015'!$O$15:$O$19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7225"/>
          <c:w val="0.8355"/>
          <c:h val="0.7475"/>
        </c:manualLayout>
      </c:layout>
      <c:pie3DChart>
        <c:varyColors val="1"/>
        <c:ser>
          <c:idx val="0"/>
          <c:order val="0"/>
          <c:tx>
            <c:strRef>
              <c:f>'SPRING 2016'!$M$14</c:f>
              <c:strCache>
                <c:ptCount val="1"/>
                <c:pt idx="0">
                  <c:v>APPROVED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2016'!$I$15:$I$19</c:f>
              <c:strCache/>
            </c:strRef>
          </c:cat>
          <c:val>
            <c:numRef>
              <c:f>'SPRING 2016'!$M$15:$M$19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8175"/>
          <c:w val="0.83525"/>
          <c:h val="0.736"/>
        </c:manualLayout>
      </c:layout>
      <c:pie3DChart>
        <c:varyColors val="1"/>
        <c:ser>
          <c:idx val="0"/>
          <c:order val="0"/>
          <c:tx>
            <c:strRef>
              <c:f>'SPRING 2016'!$O$14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2016'!$I$15:$I$19</c:f>
              <c:strCache/>
            </c:strRef>
          </c:cat>
          <c:val>
            <c:numRef>
              <c:f>'SPRING 2016'!$O$15:$O$19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9125"/>
          <c:w val="0.8355"/>
          <c:h val="0.7245"/>
        </c:manualLayout>
      </c:layout>
      <c:pie3DChart>
        <c:varyColors val="1"/>
        <c:ser>
          <c:idx val="0"/>
          <c:order val="0"/>
          <c:tx>
            <c:strRef>
              <c:f>'FALL 2016'!$M$14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2016'!$I$15:$I$19</c:f>
              <c:strCache/>
            </c:strRef>
          </c:cat>
          <c:val>
            <c:numRef>
              <c:f>'FALL 2016'!$M$15:$M$19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7775"/>
          <c:w val="0.83525"/>
          <c:h val="0.741"/>
        </c:manualLayout>
      </c:layout>
      <c:pie3DChart>
        <c:varyColors val="1"/>
        <c:ser>
          <c:idx val="0"/>
          <c:order val="0"/>
          <c:tx>
            <c:strRef>
              <c:f>'FALL 2016'!$O$14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2016'!$I$15:$I$19</c:f>
              <c:strCache/>
            </c:strRef>
          </c:cat>
          <c:val>
            <c:numRef>
              <c:f>'FALL 2016'!$O$15:$O$19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815"/>
          <c:w val="0.8355"/>
          <c:h val="0.73725"/>
        </c:manualLayout>
      </c:layout>
      <c:pie3DChart>
        <c:varyColors val="1"/>
        <c:ser>
          <c:idx val="0"/>
          <c:order val="0"/>
          <c:tx>
            <c:strRef>
              <c:f>'SPRING 2017'!$M$14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2017'!$I$15:$I$19</c:f>
              <c:strCache/>
            </c:strRef>
          </c:cat>
          <c:val>
            <c:numRef>
              <c:f>'SPRING 2017'!$M$15:$M$19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425"/>
          <c:y val="0.19175"/>
          <c:w val="0.58175"/>
          <c:h val="0.94425"/>
        </c:manualLayout>
      </c:layout>
      <c:pieChart>
        <c:varyColors val="1"/>
        <c:ser>
          <c:idx val="0"/>
          <c:order val="0"/>
          <c:tx>
            <c:strRef>
              <c:f>'SPRING 2012'!$L$12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2012'!$H$13:$H$17</c:f>
              <c:strCache/>
            </c:strRef>
          </c:cat>
          <c:val>
            <c:numRef>
              <c:f>'SPRING 2012'!$L$13:$L$17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5375"/>
          <c:w val="0.83525"/>
          <c:h val="0.76875"/>
        </c:manualLayout>
      </c:layout>
      <c:pie3DChart>
        <c:varyColors val="1"/>
        <c:ser>
          <c:idx val="0"/>
          <c:order val="0"/>
          <c:tx>
            <c:strRef>
              <c:f>'SPRING 2017'!$O$14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2017'!$I$15:$I$19</c:f>
              <c:strCache/>
            </c:strRef>
          </c:cat>
          <c:val>
            <c:numRef>
              <c:f>'SPRING 2017'!$O$15:$O$19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815"/>
          <c:w val="0.8355"/>
          <c:h val="0.73725"/>
        </c:manualLayout>
      </c:layout>
      <c:pie3DChart>
        <c:varyColors val="1"/>
        <c:ser>
          <c:idx val="0"/>
          <c:order val="0"/>
          <c:tx>
            <c:strRef>
              <c:f>'FALL 2017'!$M$14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2017'!$I$15:$I$19</c:f>
              <c:strCache/>
            </c:strRef>
          </c:cat>
          <c:val>
            <c:numRef>
              <c:f>'FALL 2017'!$M$15:$M$19</c:f>
              <c:numCache>
                <c:ptCount val="5"/>
                <c:pt idx="0">
                  <c:v>1255100</c:v>
                </c:pt>
                <c:pt idx="1">
                  <c:v>0</c:v>
                </c:pt>
                <c:pt idx="2">
                  <c:v>2839700</c:v>
                </c:pt>
                <c:pt idx="3">
                  <c:v>2803950</c:v>
                </c:pt>
                <c:pt idx="4">
                  <c:v>60000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55"/>
          <c:w val="0.83525"/>
          <c:h val="0.76775"/>
        </c:manualLayout>
      </c:layout>
      <c:pie3DChart>
        <c:varyColors val="1"/>
        <c:ser>
          <c:idx val="0"/>
          <c:order val="0"/>
          <c:tx>
            <c:strRef>
              <c:f>'FALL 2017'!$O$14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2017'!$I$15:$I$19</c:f>
              <c:strCache/>
            </c:strRef>
          </c:cat>
          <c:val>
            <c:numRef>
              <c:f>'FALL 2017'!$O$15:$O$19</c:f>
              <c:numCache>
                <c:ptCount val="5"/>
                <c:pt idx="0">
                  <c:v>1149863</c:v>
                </c:pt>
                <c:pt idx="1">
                  <c:v>0</c:v>
                </c:pt>
                <c:pt idx="2">
                  <c:v>2644743</c:v>
                </c:pt>
                <c:pt idx="3">
                  <c:v>1327252.44</c:v>
                </c:pt>
                <c:pt idx="4">
                  <c:v>60000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815"/>
          <c:w val="0.8355"/>
          <c:h val="0.73725"/>
        </c:manualLayout>
      </c:layout>
      <c:pie3DChart>
        <c:varyColors val="1"/>
        <c:ser>
          <c:idx val="0"/>
          <c:order val="0"/>
          <c:tx>
            <c:strRef>
              <c:f>'SPRING 2018'!$M$14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2018'!$I$15:$I$19</c:f>
              <c:strCache/>
            </c:strRef>
          </c:cat>
          <c:val>
            <c:numRef>
              <c:f>'SPRING 2018'!$M$15:$M$19</c:f>
              <c:numCache>
                <c:ptCount val="5"/>
                <c:pt idx="0">
                  <c:v>2800737</c:v>
                </c:pt>
                <c:pt idx="1">
                  <c:v>818600</c:v>
                </c:pt>
                <c:pt idx="2">
                  <c:v>4377650</c:v>
                </c:pt>
                <c:pt idx="3">
                  <c:v>2520870</c:v>
                </c:pt>
                <c:pt idx="4">
                  <c:v>165200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1855"/>
          <c:w val="0.83525"/>
          <c:h val="0.73175"/>
        </c:manualLayout>
      </c:layout>
      <c:pie3DChart>
        <c:varyColors val="1"/>
        <c:ser>
          <c:idx val="0"/>
          <c:order val="0"/>
          <c:tx>
            <c:strRef>
              <c:f>'SPRING 2018'!$O$14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2018'!$I$15:$I$19</c:f>
              <c:strCache/>
            </c:strRef>
          </c:cat>
          <c:val>
            <c:numRef>
              <c:f>'SPRING 2018'!$O$15:$O$19</c:f>
              <c:numCache>
                <c:ptCount val="5"/>
                <c:pt idx="0">
                  <c:v>2536461</c:v>
                </c:pt>
                <c:pt idx="1">
                  <c:v>659231</c:v>
                </c:pt>
                <c:pt idx="2">
                  <c:v>2911326.5</c:v>
                </c:pt>
                <c:pt idx="3">
                  <c:v>922592</c:v>
                </c:pt>
                <c:pt idx="4">
                  <c:v>157318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25"/>
          <c:y val="0.18375"/>
          <c:w val="0.8355"/>
          <c:h val="0.734"/>
        </c:manualLayout>
      </c:layout>
      <c:pie3DChart>
        <c:varyColors val="1"/>
        <c:ser>
          <c:idx val="0"/>
          <c:order val="0"/>
          <c:tx>
            <c:strRef>
              <c:f>'FALL 2018'!$M$14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2018'!$I$15:$I$19</c:f>
              <c:strCache/>
            </c:strRef>
          </c:cat>
          <c:val>
            <c:numRef>
              <c:f>'FALL 2018'!$M$15:$M$19</c:f>
              <c:numCache>
                <c:ptCount val="5"/>
                <c:pt idx="0">
                  <c:v>421600</c:v>
                </c:pt>
                <c:pt idx="1">
                  <c:v>40400</c:v>
                </c:pt>
                <c:pt idx="2">
                  <c:v>3934800</c:v>
                </c:pt>
                <c:pt idx="3">
                  <c:v>2546000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5"/>
          <c:y val="0.21275"/>
          <c:w val="0.83525"/>
          <c:h val="0.69525"/>
        </c:manualLayout>
      </c:layout>
      <c:pie3DChart>
        <c:varyColors val="1"/>
        <c:ser>
          <c:idx val="0"/>
          <c:order val="0"/>
          <c:tx>
            <c:strRef>
              <c:f>'FALL 2018'!$O$14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2018'!$I$15:$I$19</c:f>
              <c:strCache/>
            </c:strRef>
          </c:cat>
          <c:val>
            <c:numRef>
              <c:f>'FALL 2018'!$O$15:$O$19</c:f>
              <c:numCache>
                <c:ptCount val="5"/>
                <c:pt idx="0">
                  <c:v>292940</c:v>
                </c:pt>
                <c:pt idx="1">
                  <c:v>14605</c:v>
                </c:pt>
                <c:pt idx="2">
                  <c:v>3814345</c:v>
                </c:pt>
                <c:pt idx="3">
                  <c:v>2479662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025"/>
          <c:y val="0.18775"/>
          <c:w val="0.83775"/>
          <c:h val="0.7305"/>
        </c:manualLayout>
      </c:layout>
      <c:pie3DChart>
        <c:varyColors val="1"/>
        <c:ser>
          <c:idx val="0"/>
          <c:order val="0"/>
          <c:tx>
            <c:strRef>
              <c:f>'SPRING 2019'!$M$14</c:f>
              <c:strCache>
                <c:ptCount val="1"/>
                <c:pt idx="0">
                  <c:v>APPORVED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2019'!$I$15:$I$19</c:f>
              <c:strCache/>
            </c:strRef>
          </c:cat>
          <c:val>
            <c:numRef>
              <c:f>'SPRING 2019'!$M$15:$M$19</c:f>
              <c:numCache>
                <c:ptCount val="5"/>
                <c:pt idx="0">
                  <c:v>987139</c:v>
                </c:pt>
                <c:pt idx="1">
                  <c:v>829250</c:v>
                </c:pt>
                <c:pt idx="2">
                  <c:v>2973520</c:v>
                </c:pt>
                <c:pt idx="3">
                  <c:v>2294565</c:v>
                </c:pt>
                <c:pt idx="4">
                  <c:v>1187516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81"/>
          <c:y val="0.2045"/>
          <c:w val="0.8365"/>
          <c:h val="0.706"/>
        </c:manualLayout>
      </c:layout>
      <c:pie3DChart>
        <c:varyColors val="1"/>
        <c:ser>
          <c:idx val="0"/>
          <c:order val="0"/>
          <c:tx>
            <c:strRef>
              <c:f>'SPRING 2019'!$O$14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2019'!$I$15:$I$19</c:f>
              <c:strCache/>
            </c:strRef>
          </c:cat>
          <c:val>
            <c:numRef>
              <c:f>'SPRING 2019'!$O$15:$O$19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40175"/>
          <c:y val="0.21475"/>
          <c:w val="0.45375"/>
          <c:h val="0.9075"/>
        </c:manualLayout>
      </c:layout>
      <c:pieChart>
        <c:varyColors val="1"/>
        <c:ser>
          <c:idx val="0"/>
          <c:order val="0"/>
          <c:tx>
            <c:strRef>
              <c:f>'FALL 2012'!$K$12</c:f>
              <c:strCache>
                <c:ptCount val="1"/>
                <c:pt idx="0">
                  <c:v>PRELIMINARY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2012'!$I$13:$I$17</c:f>
              <c:strCache/>
            </c:strRef>
          </c:cat>
          <c:val>
            <c:numRef>
              <c:f>'FALL 2012'!$K$13:$K$17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444"/>
          <c:y val="0.25875"/>
          <c:w val="0.3675"/>
          <c:h val="0.8545"/>
        </c:manualLayout>
      </c:layout>
      <c:pieChart>
        <c:varyColors val="1"/>
        <c:ser>
          <c:idx val="0"/>
          <c:order val="0"/>
          <c:tx>
            <c:strRef>
              <c:f>'FALL 2012'!$O$12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2012'!$I$13:$I$17</c:f>
              <c:strCache/>
            </c:strRef>
          </c:cat>
          <c:val>
            <c:numRef>
              <c:f>'FALL 2012'!$O$13:$O$17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9775"/>
          <c:y val="0.2135"/>
          <c:w val="0.458"/>
          <c:h val="0.909"/>
        </c:manualLayout>
      </c:layout>
      <c:pieChart>
        <c:varyColors val="1"/>
        <c:ser>
          <c:idx val="0"/>
          <c:order val="0"/>
          <c:tx>
            <c:strRef>
              <c:f>'FALL 2012'!$M$12</c:f>
              <c:strCache>
                <c:ptCount val="1"/>
                <c:pt idx="0">
                  <c:v>REVIEWED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'FALL 2012'!$I$13:$I$17</c:f>
              <c:strCache/>
            </c:strRef>
          </c:cat>
          <c:val>
            <c:numRef>
              <c:f>'FALL 2012'!$M$13:$M$17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4015"/>
          <c:y val="0.21475"/>
          <c:w val="0.4565"/>
          <c:h val="0.913"/>
        </c:manualLayout>
      </c:layout>
      <c:pieChart>
        <c:varyColors val="1"/>
        <c:ser>
          <c:idx val="0"/>
          <c:order val="0"/>
          <c:tx>
            <c:strRef>
              <c:f>'SPRING 2013'!$L$13</c:f>
              <c:strCache>
                <c:ptCount val="1"/>
                <c:pt idx="0">
                  <c:v>PRELIMINARY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2013'!$J$14:$J$18</c:f>
              <c:strCache/>
            </c:strRef>
          </c:cat>
          <c:val>
            <c:numRef>
              <c:f>'SPRING 2013'!$L$14:$L$18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4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5775"/>
          <c:y val="0.1875"/>
          <c:w val="0.539"/>
          <c:h val="0.95075"/>
        </c:manualLayout>
      </c:layout>
      <c:pieChart>
        <c:varyColors val="1"/>
        <c:ser>
          <c:idx val="0"/>
          <c:order val="0"/>
          <c:tx>
            <c:strRef>
              <c:f>'SPRING 2013'!$P$13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2013'!$J$14:$J$18</c:f>
              <c:strCache/>
            </c:strRef>
          </c:cat>
          <c:val>
            <c:numRef>
              <c:f>'SPRING 2013'!$P$14:$P$18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6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645"/>
          <c:y val="0.1925"/>
          <c:w val="0.5285"/>
          <c:h val="0.941"/>
        </c:manualLayout>
      </c:layout>
      <c:pieChart>
        <c:varyColors val="1"/>
        <c:ser>
          <c:idx val="0"/>
          <c:order val="0"/>
          <c:tx>
            <c:strRef>
              <c:f>'SPRING 2013'!$N$13</c:f>
              <c:strCache>
                <c:ptCount val="1"/>
                <c:pt idx="0">
                  <c:v>REVIEWED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'SPRING 2013'!$J$14:$J$18</c:f>
              <c:strCache/>
            </c:strRef>
          </c:cat>
          <c:val>
            <c:numRef>
              <c:f>'SPRING 2013'!$N$14:$N$18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12</xdr:col>
      <xdr:colOff>466725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8372475" y="3038475"/>
        <a:ext cx="4010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200025</xdr:rowOff>
    </xdr:to>
    <xdr:graphicFrame>
      <xdr:nvGraphicFramePr>
        <xdr:cNvPr id="1" name="Chart 5"/>
        <xdr:cNvGraphicFramePr/>
      </xdr:nvGraphicFramePr>
      <xdr:xfrm>
        <a:off x="11944350" y="4210050"/>
        <a:ext cx="6524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43</xdr:row>
      <xdr:rowOff>152400</xdr:rowOff>
    </xdr:from>
    <xdr:to>
      <xdr:col>14</xdr:col>
      <xdr:colOff>962025</xdr:colOff>
      <xdr:row>64</xdr:row>
      <xdr:rowOff>38100</xdr:rowOff>
    </xdr:to>
    <xdr:graphicFrame>
      <xdr:nvGraphicFramePr>
        <xdr:cNvPr id="2" name="Chart 6"/>
        <xdr:cNvGraphicFramePr/>
      </xdr:nvGraphicFramePr>
      <xdr:xfrm>
        <a:off x="11944350" y="8763000"/>
        <a:ext cx="65246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41</xdr:row>
      <xdr:rowOff>200025</xdr:rowOff>
    </xdr:to>
    <xdr:graphicFrame>
      <xdr:nvGraphicFramePr>
        <xdr:cNvPr id="1" name="Chart 5"/>
        <xdr:cNvGraphicFramePr/>
      </xdr:nvGraphicFramePr>
      <xdr:xfrm>
        <a:off x="11944350" y="4210050"/>
        <a:ext cx="65246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44</xdr:row>
      <xdr:rowOff>161925</xdr:rowOff>
    </xdr:from>
    <xdr:to>
      <xdr:col>14</xdr:col>
      <xdr:colOff>962025</xdr:colOff>
      <xdr:row>65</xdr:row>
      <xdr:rowOff>38100</xdr:rowOff>
    </xdr:to>
    <xdr:graphicFrame>
      <xdr:nvGraphicFramePr>
        <xdr:cNvPr id="2" name="Chart 6"/>
        <xdr:cNvGraphicFramePr/>
      </xdr:nvGraphicFramePr>
      <xdr:xfrm>
        <a:off x="11944350" y="8972550"/>
        <a:ext cx="65246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12030075" y="4210050"/>
        <a:ext cx="6524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40</xdr:row>
      <xdr:rowOff>152400</xdr:rowOff>
    </xdr:from>
    <xdr:to>
      <xdr:col>14</xdr:col>
      <xdr:colOff>962025</xdr:colOff>
      <xdr:row>61</xdr:row>
      <xdr:rowOff>38100</xdr:rowOff>
    </xdr:to>
    <xdr:graphicFrame>
      <xdr:nvGraphicFramePr>
        <xdr:cNvPr id="2" name="Chart 6"/>
        <xdr:cNvGraphicFramePr/>
      </xdr:nvGraphicFramePr>
      <xdr:xfrm>
        <a:off x="12030075" y="8162925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2030075" y="4210050"/>
        <a:ext cx="6524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41</xdr:row>
      <xdr:rowOff>152400</xdr:rowOff>
    </xdr:from>
    <xdr:to>
      <xdr:col>14</xdr:col>
      <xdr:colOff>962025</xdr:colOff>
      <xdr:row>67</xdr:row>
      <xdr:rowOff>38100</xdr:rowOff>
    </xdr:to>
    <xdr:graphicFrame>
      <xdr:nvGraphicFramePr>
        <xdr:cNvPr id="2" name="Chart 6"/>
        <xdr:cNvGraphicFramePr/>
      </xdr:nvGraphicFramePr>
      <xdr:xfrm>
        <a:off x="12030075" y="8362950"/>
        <a:ext cx="65246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2030075" y="4210050"/>
        <a:ext cx="6524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41</xdr:row>
      <xdr:rowOff>152400</xdr:rowOff>
    </xdr:from>
    <xdr:to>
      <xdr:col>14</xdr:col>
      <xdr:colOff>962025</xdr:colOff>
      <xdr:row>67</xdr:row>
      <xdr:rowOff>38100</xdr:rowOff>
    </xdr:to>
    <xdr:graphicFrame>
      <xdr:nvGraphicFramePr>
        <xdr:cNvPr id="2" name="Chart 6"/>
        <xdr:cNvGraphicFramePr/>
      </xdr:nvGraphicFramePr>
      <xdr:xfrm>
        <a:off x="12030075" y="8362950"/>
        <a:ext cx="6524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2030075" y="4210050"/>
        <a:ext cx="6524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41</xdr:row>
      <xdr:rowOff>152400</xdr:rowOff>
    </xdr:from>
    <xdr:to>
      <xdr:col>14</xdr:col>
      <xdr:colOff>962025</xdr:colOff>
      <xdr:row>60</xdr:row>
      <xdr:rowOff>152400</xdr:rowOff>
    </xdr:to>
    <xdr:graphicFrame>
      <xdr:nvGraphicFramePr>
        <xdr:cNvPr id="2" name="Chart 6"/>
        <xdr:cNvGraphicFramePr/>
      </xdr:nvGraphicFramePr>
      <xdr:xfrm>
        <a:off x="12030075" y="83629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2030075" y="4210050"/>
        <a:ext cx="6524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41</xdr:row>
      <xdr:rowOff>152400</xdr:rowOff>
    </xdr:from>
    <xdr:to>
      <xdr:col>14</xdr:col>
      <xdr:colOff>962025</xdr:colOff>
      <xdr:row>59</xdr:row>
      <xdr:rowOff>152400</xdr:rowOff>
    </xdr:to>
    <xdr:graphicFrame>
      <xdr:nvGraphicFramePr>
        <xdr:cNvPr id="2" name="Chart 6"/>
        <xdr:cNvGraphicFramePr/>
      </xdr:nvGraphicFramePr>
      <xdr:xfrm>
        <a:off x="12030075" y="8324850"/>
        <a:ext cx="6524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21</xdr:row>
      <xdr:rowOff>0</xdr:rowOff>
    </xdr:from>
    <xdr:to>
      <xdr:col>14</xdr:col>
      <xdr:colOff>962025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12030075" y="4171950"/>
        <a:ext cx="6524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41</xdr:row>
      <xdr:rowOff>152400</xdr:rowOff>
    </xdr:from>
    <xdr:to>
      <xdr:col>14</xdr:col>
      <xdr:colOff>962025</xdr:colOff>
      <xdr:row>59</xdr:row>
      <xdr:rowOff>152400</xdr:rowOff>
    </xdr:to>
    <xdr:graphicFrame>
      <xdr:nvGraphicFramePr>
        <xdr:cNvPr id="2" name="Chart 6"/>
        <xdr:cNvGraphicFramePr/>
      </xdr:nvGraphicFramePr>
      <xdr:xfrm>
        <a:off x="12030075" y="8134350"/>
        <a:ext cx="6524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18</xdr:row>
      <xdr:rowOff>200025</xdr:rowOff>
    </xdr:from>
    <xdr:to>
      <xdr:col>12</xdr:col>
      <xdr:colOff>28575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191625" y="3619500"/>
        <a:ext cx="3781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32</xdr:row>
      <xdr:rowOff>95250</xdr:rowOff>
    </xdr:from>
    <xdr:to>
      <xdr:col>12</xdr:col>
      <xdr:colOff>9525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9182100" y="6315075"/>
        <a:ext cx="3771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18</xdr:row>
      <xdr:rowOff>190500</xdr:rowOff>
    </xdr:from>
    <xdr:to>
      <xdr:col>15</xdr:col>
      <xdr:colOff>28575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0572750" y="3581400"/>
        <a:ext cx="4867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47</xdr:row>
      <xdr:rowOff>123825</xdr:rowOff>
    </xdr:from>
    <xdr:to>
      <xdr:col>15</xdr:col>
      <xdr:colOff>47625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10601325" y="8791575"/>
        <a:ext cx="48577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32</xdr:row>
      <xdr:rowOff>47625</xdr:rowOff>
    </xdr:from>
    <xdr:to>
      <xdr:col>15</xdr:col>
      <xdr:colOff>38100</xdr:colOff>
      <xdr:row>46</xdr:row>
      <xdr:rowOff>85725</xdr:rowOff>
    </xdr:to>
    <xdr:graphicFrame>
      <xdr:nvGraphicFramePr>
        <xdr:cNvPr id="3" name="Chart 1"/>
        <xdr:cNvGraphicFramePr/>
      </xdr:nvGraphicFramePr>
      <xdr:xfrm>
        <a:off x="10591800" y="6105525"/>
        <a:ext cx="4857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20</xdr:row>
      <xdr:rowOff>0</xdr:rowOff>
    </xdr:from>
    <xdr:to>
      <xdr:col>13</xdr:col>
      <xdr:colOff>819150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4439900" y="3771900"/>
        <a:ext cx="50863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48</xdr:row>
      <xdr:rowOff>123825</xdr:rowOff>
    </xdr:from>
    <xdr:to>
      <xdr:col>14</xdr:col>
      <xdr:colOff>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14458950" y="9229725"/>
        <a:ext cx="51720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33</xdr:row>
      <xdr:rowOff>47625</xdr:rowOff>
    </xdr:from>
    <xdr:to>
      <xdr:col>13</xdr:col>
      <xdr:colOff>819150</xdr:colOff>
      <xdr:row>47</xdr:row>
      <xdr:rowOff>76200</xdr:rowOff>
    </xdr:to>
    <xdr:graphicFrame>
      <xdr:nvGraphicFramePr>
        <xdr:cNvPr id="3" name="Chart 1"/>
        <xdr:cNvGraphicFramePr/>
      </xdr:nvGraphicFramePr>
      <xdr:xfrm>
        <a:off x="14449425" y="6296025"/>
        <a:ext cx="50768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20</xdr:row>
      <xdr:rowOff>0</xdr:rowOff>
    </xdr:from>
    <xdr:to>
      <xdr:col>13</xdr:col>
      <xdr:colOff>819150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3030200" y="3857625"/>
        <a:ext cx="5086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48</xdr:row>
      <xdr:rowOff>114300</xdr:rowOff>
    </xdr:from>
    <xdr:to>
      <xdr:col>14</xdr:col>
      <xdr:colOff>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13049250" y="9572625"/>
        <a:ext cx="51720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33</xdr:row>
      <xdr:rowOff>47625</xdr:rowOff>
    </xdr:from>
    <xdr:to>
      <xdr:col>13</xdr:col>
      <xdr:colOff>819150</xdr:colOff>
      <xdr:row>47</xdr:row>
      <xdr:rowOff>85725</xdr:rowOff>
    </xdr:to>
    <xdr:graphicFrame>
      <xdr:nvGraphicFramePr>
        <xdr:cNvPr id="3" name="Chart 1"/>
        <xdr:cNvGraphicFramePr/>
      </xdr:nvGraphicFramePr>
      <xdr:xfrm>
        <a:off x="13039725" y="6505575"/>
        <a:ext cx="50768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18</xdr:row>
      <xdr:rowOff>200025</xdr:rowOff>
    </xdr:from>
    <xdr:to>
      <xdr:col>12</xdr:col>
      <xdr:colOff>28575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105900" y="3619500"/>
        <a:ext cx="3781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32</xdr:row>
      <xdr:rowOff>95250</xdr:rowOff>
    </xdr:from>
    <xdr:to>
      <xdr:col>12</xdr:col>
      <xdr:colOff>9525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9096375" y="6315075"/>
        <a:ext cx="3771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22</xdr:row>
      <xdr:rowOff>114300</xdr:rowOff>
    </xdr:from>
    <xdr:to>
      <xdr:col>14</xdr:col>
      <xdr:colOff>133350</xdr:colOff>
      <xdr:row>36</xdr:row>
      <xdr:rowOff>47625</xdr:rowOff>
    </xdr:to>
    <xdr:graphicFrame>
      <xdr:nvGraphicFramePr>
        <xdr:cNvPr id="1" name="Диаграмма 1"/>
        <xdr:cNvGraphicFramePr/>
      </xdr:nvGraphicFramePr>
      <xdr:xfrm>
        <a:off x="12477750" y="4438650"/>
        <a:ext cx="51625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37</xdr:row>
      <xdr:rowOff>200025</xdr:rowOff>
    </xdr:from>
    <xdr:to>
      <xdr:col>14</xdr:col>
      <xdr:colOff>152400</xdr:colOff>
      <xdr:row>51</xdr:row>
      <xdr:rowOff>152400</xdr:rowOff>
    </xdr:to>
    <xdr:graphicFrame>
      <xdr:nvGraphicFramePr>
        <xdr:cNvPr id="2" name="Диаграмма 2"/>
        <xdr:cNvGraphicFramePr/>
      </xdr:nvGraphicFramePr>
      <xdr:xfrm>
        <a:off x="12506325" y="752475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53</xdr:row>
      <xdr:rowOff>133350</xdr:rowOff>
    </xdr:from>
    <xdr:to>
      <xdr:col>14</xdr:col>
      <xdr:colOff>276225</xdr:colOff>
      <xdr:row>69</xdr:row>
      <xdr:rowOff>19050</xdr:rowOff>
    </xdr:to>
    <xdr:graphicFrame>
      <xdr:nvGraphicFramePr>
        <xdr:cNvPr id="3" name="Диаграмма 3"/>
        <xdr:cNvGraphicFramePr/>
      </xdr:nvGraphicFramePr>
      <xdr:xfrm>
        <a:off x="12515850" y="10658475"/>
        <a:ext cx="52673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20</xdr:row>
      <xdr:rowOff>114300</xdr:rowOff>
    </xdr:from>
    <xdr:to>
      <xdr:col>14</xdr:col>
      <xdr:colOff>133350</xdr:colOff>
      <xdr:row>34</xdr:row>
      <xdr:rowOff>47625</xdr:rowOff>
    </xdr:to>
    <xdr:graphicFrame>
      <xdr:nvGraphicFramePr>
        <xdr:cNvPr id="1" name="Диаграмма 1"/>
        <xdr:cNvGraphicFramePr/>
      </xdr:nvGraphicFramePr>
      <xdr:xfrm>
        <a:off x="12477750" y="4143375"/>
        <a:ext cx="51625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35</xdr:row>
      <xdr:rowOff>200025</xdr:rowOff>
    </xdr:from>
    <xdr:to>
      <xdr:col>14</xdr:col>
      <xdr:colOff>152400</xdr:colOff>
      <xdr:row>49</xdr:row>
      <xdr:rowOff>152400</xdr:rowOff>
    </xdr:to>
    <xdr:graphicFrame>
      <xdr:nvGraphicFramePr>
        <xdr:cNvPr id="2" name="Диаграмма 2"/>
        <xdr:cNvGraphicFramePr/>
      </xdr:nvGraphicFramePr>
      <xdr:xfrm>
        <a:off x="12506325" y="7229475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53</xdr:row>
      <xdr:rowOff>133350</xdr:rowOff>
    </xdr:from>
    <xdr:to>
      <xdr:col>14</xdr:col>
      <xdr:colOff>276225</xdr:colOff>
      <xdr:row>68</xdr:row>
      <xdr:rowOff>28575</xdr:rowOff>
    </xdr:to>
    <xdr:graphicFrame>
      <xdr:nvGraphicFramePr>
        <xdr:cNvPr id="3" name="Диаграмма 3"/>
        <xdr:cNvGraphicFramePr/>
      </xdr:nvGraphicFramePr>
      <xdr:xfrm>
        <a:off x="12515850" y="10763250"/>
        <a:ext cx="5267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20</xdr:row>
      <xdr:rowOff>0</xdr:rowOff>
    </xdr:from>
    <xdr:to>
      <xdr:col>14</xdr:col>
      <xdr:colOff>962025</xdr:colOff>
      <xdr:row>39</xdr:row>
      <xdr:rowOff>200025</xdr:rowOff>
    </xdr:to>
    <xdr:graphicFrame>
      <xdr:nvGraphicFramePr>
        <xdr:cNvPr id="1" name="Chart 5"/>
        <xdr:cNvGraphicFramePr/>
      </xdr:nvGraphicFramePr>
      <xdr:xfrm>
        <a:off x="11944350" y="4019550"/>
        <a:ext cx="6524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40</xdr:row>
      <xdr:rowOff>152400</xdr:rowOff>
    </xdr:from>
    <xdr:to>
      <xdr:col>14</xdr:col>
      <xdr:colOff>962025</xdr:colOff>
      <xdr:row>64</xdr:row>
      <xdr:rowOff>38100</xdr:rowOff>
    </xdr:to>
    <xdr:graphicFrame>
      <xdr:nvGraphicFramePr>
        <xdr:cNvPr id="2" name="Chart 6"/>
        <xdr:cNvGraphicFramePr/>
      </xdr:nvGraphicFramePr>
      <xdr:xfrm>
        <a:off x="11944350" y="8172450"/>
        <a:ext cx="65246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9" sqref="S9"/>
    </sheetView>
  </sheetViews>
  <sheetFormatPr defaultColWidth="9.140625" defaultRowHeight="12.75" outlineLevelCol="1"/>
  <cols>
    <col min="2" max="2" width="27.00390625" style="0" customWidth="1"/>
    <col min="3" max="3" width="34.421875" style="0" hidden="1" customWidth="1" outlineLevel="1"/>
    <col min="4" max="5" width="28.421875" style="0" hidden="1" customWidth="1" outlineLevel="1"/>
    <col min="6" max="6" width="29.421875" style="0" hidden="1" customWidth="1" outlineLevel="1"/>
    <col min="7" max="7" width="32.7109375" style="0" hidden="1" customWidth="1" outlineLevel="1"/>
    <col min="8" max="8" width="29.421875" style="0" hidden="1" customWidth="1" outlineLevel="1"/>
    <col min="9" max="11" width="28.421875" style="0" hidden="1" customWidth="1" outlineLevel="1"/>
    <col min="12" max="12" width="30.00390625" style="0" hidden="1" customWidth="1" outlineLevel="1"/>
    <col min="13" max="13" width="27.57421875" style="0" hidden="1" customWidth="1" outlineLevel="1"/>
    <col min="14" max="14" width="28.421875" style="0" hidden="1" customWidth="1" outlineLevel="1"/>
    <col min="15" max="15" width="29.421875" style="0" hidden="1" customWidth="1" outlineLevel="1"/>
    <col min="16" max="16" width="30.28125" style="0" hidden="1" customWidth="1" outlineLevel="1"/>
    <col min="17" max="17" width="30.7109375" style="0" customWidth="1" collapsed="1"/>
    <col min="18" max="19" width="30.28125" style="0" bestFit="1" customWidth="1"/>
    <col min="20" max="20" width="30.140625" style="0" bestFit="1" customWidth="1"/>
  </cols>
  <sheetData>
    <row r="2" spans="3:20" ht="18">
      <c r="C2" s="21" t="s">
        <v>50</v>
      </c>
      <c r="D2" s="21" t="s">
        <v>51</v>
      </c>
      <c r="E2" s="21" t="s">
        <v>52</v>
      </c>
      <c r="F2" s="21" t="s">
        <v>67</v>
      </c>
      <c r="G2" s="21" t="s">
        <v>134</v>
      </c>
      <c r="H2" s="21" t="s">
        <v>192</v>
      </c>
      <c r="I2" s="21" t="s">
        <v>207</v>
      </c>
      <c r="J2" s="21" t="s">
        <v>365</v>
      </c>
      <c r="K2" s="21" t="s">
        <v>407</v>
      </c>
      <c r="L2" s="21" t="s">
        <v>413</v>
      </c>
      <c r="M2" s="21" t="s">
        <v>477</v>
      </c>
      <c r="N2" s="21" t="s">
        <v>514</v>
      </c>
      <c r="O2" s="21" t="s">
        <v>532</v>
      </c>
      <c r="P2" s="21" t="s">
        <v>571</v>
      </c>
      <c r="Q2" s="21" t="s">
        <v>578</v>
      </c>
      <c r="R2" s="21" t="s">
        <v>611</v>
      </c>
      <c r="S2" s="21" t="s">
        <v>642</v>
      </c>
      <c r="T2" s="21" t="s">
        <v>670</v>
      </c>
    </row>
    <row r="3" spans="3:20" ht="12.75">
      <c r="C3" s="115" t="s">
        <v>122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08" t="s">
        <v>570</v>
      </c>
    </row>
    <row r="4" spans="2:20" ht="20.25">
      <c r="B4" s="2" t="s">
        <v>4</v>
      </c>
      <c r="C4" s="3">
        <v>6325000</v>
      </c>
      <c r="D4" s="3">
        <f>'SPRING 2011'!E9</f>
        <v>4613206.049999999</v>
      </c>
      <c r="E4" s="3">
        <f>'FALL 2011'!E11</f>
        <v>6145919.525714284</v>
      </c>
      <c r="F4" s="3">
        <f>'SPRING 2012'!E11</f>
        <v>7416122.097142855</v>
      </c>
      <c r="G4" s="3">
        <f>'FALL 2012'!E11</f>
        <v>6621704.097142854</v>
      </c>
      <c r="H4" s="3">
        <f>'SPRING 2013'!E12</f>
        <v>7967892.542142853</v>
      </c>
      <c r="I4" s="3">
        <f>'FALL 2013'!E12</f>
        <v>7234758.542142852</v>
      </c>
      <c r="J4" s="3">
        <f>'SPRING 2014'!D14</f>
        <v>7917188.542142851</v>
      </c>
      <c r="K4" s="3">
        <f>'FALL 2014'!D12</f>
        <v>7320418.54214285</v>
      </c>
      <c r="L4" s="3">
        <f>'SPRING 2015'!D12</f>
        <v>8569686.34214285</v>
      </c>
      <c r="M4" s="3">
        <f>'FALL 2015'!D13</f>
        <v>6160769.90214285</v>
      </c>
      <c r="N4" s="3">
        <f>'SPRING 2016'!D13</f>
        <v>7197817.15214285</v>
      </c>
      <c r="O4" s="3">
        <f>'FALL 2016'!D13</f>
        <v>8970732.04357142</v>
      </c>
      <c r="P4" s="3">
        <f>'SPRING 2017'!D13</f>
        <v>10466356.329285705</v>
      </c>
      <c r="Q4" s="3">
        <f>'FALL 2017'!D13</f>
        <v>10955019.739285704</v>
      </c>
      <c r="R4" s="3">
        <f>'SPRING 2018'!D13</f>
        <v>13375482.727857132</v>
      </c>
      <c r="S4" s="3">
        <f>'FALL 2018'!D13</f>
        <v>14156411.370714273</v>
      </c>
      <c r="T4" s="3">
        <f>'SPRING 2019'!D13</f>
        <v>13916823.656428559</v>
      </c>
    </row>
    <row r="5" spans="2:20" ht="20.25">
      <c r="B5" s="2" t="s">
        <v>53</v>
      </c>
      <c r="C5" s="3">
        <f>'FALL 2010'!E21</f>
        <v>6774293.95</v>
      </c>
      <c r="D5" s="3">
        <f>'SPRING 2011'!E31</f>
        <v>3708000.81</v>
      </c>
      <c r="E5" s="3">
        <f>'FALL 2011'!E25</f>
        <v>3676851</v>
      </c>
      <c r="F5" s="3">
        <f>'SPRING 2012'!F59</f>
        <v>6511668</v>
      </c>
      <c r="G5" s="3">
        <f>'FALL 2012'!G36</f>
        <v>4083061.5549999997</v>
      </c>
      <c r="H5" s="3">
        <f>'SPRING 2013'!H65</f>
        <v>6317634</v>
      </c>
      <c r="I5" s="3">
        <f>'FALL 2013'!H94</f>
        <v>4786320</v>
      </c>
      <c r="J5" s="3">
        <f>'SPRING 2014'!G118</f>
        <v>5641270</v>
      </c>
      <c r="K5" s="3">
        <f>'FALL 2014'!G60</f>
        <v>3599482.2</v>
      </c>
      <c r="L5" s="3">
        <f>'SPRING 2015'!G55</f>
        <v>7073166.44</v>
      </c>
      <c r="M5" s="3">
        <f>'FALL 2015'!G47</f>
        <v>3523702.75</v>
      </c>
      <c r="N5" s="3">
        <f>'SPRING 2016'!G45</f>
        <v>5823513.68</v>
      </c>
      <c r="O5" s="3">
        <f>'FALL 2016'!G45</f>
        <v>5665090</v>
      </c>
      <c r="P5" s="3">
        <f>'SPRING 2017'!G54</f>
        <v>7705086.590000001</v>
      </c>
      <c r="Q5" s="3">
        <f>'FALL 2017'!G48</f>
        <v>5181858.4399999995</v>
      </c>
      <c r="R5" s="3">
        <f>'SPRING 2018'!G54</f>
        <v>7186928.5</v>
      </c>
      <c r="S5" s="3">
        <f>'FALL 2018'!G36</f>
        <v>6601552</v>
      </c>
      <c r="T5" s="3">
        <f>'SPRING 2019'!F44</f>
        <v>8271990</v>
      </c>
    </row>
    <row r="6" spans="2:20" ht="20.25">
      <c r="B6" s="2" t="s">
        <v>5</v>
      </c>
      <c r="C6" s="19">
        <f>'FALL 2010'!E23</f>
        <v>-449293.9500000002</v>
      </c>
      <c r="D6" s="19">
        <f aca="true" t="shared" si="0" ref="D6:P6">D4-D5</f>
        <v>905205.2399999988</v>
      </c>
      <c r="E6" s="19">
        <f t="shared" si="0"/>
        <v>2469068.525714284</v>
      </c>
      <c r="F6" s="19">
        <f t="shared" si="0"/>
        <v>904454.0971428547</v>
      </c>
      <c r="G6" s="19">
        <f t="shared" si="0"/>
        <v>2538642.542142854</v>
      </c>
      <c r="H6" s="19">
        <f t="shared" si="0"/>
        <v>1650258.5421428531</v>
      </c>
      <c r="I6" s="19">
        <f t="shared" si="0"/>
        <v>2448438.542142852</v>
      </c>
      <c r="J6" s="19">
        <f t="shared" si="0"/>
        <v>2275918.5421428513</v>
      </c>
      <c r="K6" s="19">
        <f t="shared" si="0"/>
        <v>3720936.34214285</v>
      </c>
      <c r="L6" s="19">
        <f t="shared" si="0"/>
        <v>1496519.9021428498</v>
      </c>
      <c r="M6" s="19">
        <f t="shared" si="0"/>
        <v>2637067.1521428498</v>
      </c>
      <c r="N6" s="19">
        <f t="shared" si="0"/>
        <v>1374303.47214285</v>
      </c>
      <c r="O6" s="19">
        <f t="shared" si="0"/>
        <v>3305642.04357142</v>
      </c>
      <c r="P6" s="19">
        <f t="shared" si="0"/>
        <v>2761269.7392857047</v>
      </c>
      <c r="Q6" s="19">
        <f>Q4-Q5</f>
        <v>5773161.299285704</v>
      </c>
      <c r="R6" s="19">
        <f>R4-R5</f>
        <v>6188554.2278571315</v>
      </c>
      <c r="S6" s="19">
        <f>S4-S5</f>
        <v>7554859.370714273</v>
      </c>
      <c r="T6" s="19">
        <f>T4-T5</f>
        <v>5644833.656428559</v>
      </c>
    </row>
    <row r="7" spans="2:3" ht="20.25">
      <c r="B7" s="4"/>
      <c r="C7" s="5"/>
    </row>
    <row r="8" ht="12.75">
      <c r="B8" s="20" t="s">
        <v>478</v>
      </c>
    </row>
    <row r="9" spans="2:12" ht="18" customHeight="1">
      <c r="B9" s="20" t="s">
        <v>479</v>
      </c>
      <c r="L9" s="18"/>
    </row>
    <row r="10" ht="12.75">
      <c r="L10" s="18"/>
    </row>
    <row r="11" ht="12.75">
      <c r="L11" s="18"/>
    </row>
    <row r="14" ht="12.75">
      <c r="J14" s="18"/>
    </row>
    <row r="15" ht="12.75">
      <c r="J15" s="18"/>
    </row>
    <row r="16" ht="12.75">
      <c r="J16" s="18"/>
    </row>
  </sheetData>
  <sheetProtection/>
  <mergeCells count="1">
    <mergeCell ref="C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21"/>
  <sheetViews>
    <sheetView zoomScale="70" zoomScaleNormal="70" zoomScalePageLayoutView="0" workbookViewId="0" topLeftCell="A68">
      <selection activeCell="F10" sqref="F10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4.7109375" style="95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3" ht="15.75">
      <c r="B3" s="6" t="s">
        <v>410</v>
      </c>
    </row>
    <row r="4" ht="15">
      <c r="B4" s="20"/>
    </row>
    <row r="7" spans="1:17" ht="15">
      <c r="A7" s="53"/>
      <c r="B7" s="54" t="s">
        <v>26</v>
      </c>
      <c r="C7" s="54"/>
      <c r="D7" s="55">
        <f>D9*D10</f>
        <v>5733000</v>
      </c>
      <c r="E7" s="55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6" t="s">
        <v>55</v>
      </c>
      <c r="C8" s="57" t="s">
        <v>129</v>
      </c>
      <c r="D8" s="58">
        <v>2312</v>
      </c>
      <c r="E8" s="55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3"/>
      <c r="C9" s="57" t="s">
        <v>128</v>
      </c>
      <c r="D9" s="58">
        <v>2275</v>
      </c>
      <c r="E9" s="59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6" t="s">
        <v>56</v>
      </c>
      <c r="C10" s="54"/>
      <c r="D10" s="58">
        <v>2520</v>
      </c>
      <c r="E10" s="58"/>
      <c r="F10" s="9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27</v>
      </c>
      <c r="C11" s="54"/>
      <c r="D11" s="55">
        <f>-(D7-(D7/1.12))</f>
        <v>-614250.0000000009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346</v>
      </c>
      <c r="C12" s="54"/>
      <c r="D12" s="55">
        <v>350000</v>
      </c>
      <c r="E12" s="55"/>
      <c r="F12" s="9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">
      <c r="A13" s="53"/>
      <c r="B13" s="54" t="s">
        <v>30</v>
      </c>
      <c r="C13" s="54"/>
      <c r="D13" s="60">
        <f>'FALL 2013'!H96</f>
        <v>2448438.542142852</v>
      </c>
      <c r="E13" s="55"/>
      <c r="F13" s="9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.75">
      <c r="A14" s="53"/>
      <c r="B14" s="61" t="s">
        <v>29</v>
      </c>
      <c r="C14" s="62"/>
      <c r="D14" s="63">
        <f>SUM(D7,D11:D13)</f>
        <v>7917188.542142851</v>
      </c>
      <c r="E14" s="64"/>
      <c r="F14" s="92"/>
      <c r="G14" s="53"/>
      <c r="H14" s="53"/>
      <c r="I14" s="119" t="s">
        <v>119</v>
      </c>
      <c r="J14" s="119" t="s">
        <v>120</v>
      </c>
      <c r="K14" s="121" t="s">
        <v>123</v>
      </c>
      <c r="L14" s="121"/>
      <c r="M14" s="121"/>
      <c r="N14" s="121"/>
      <c r="O14" s="121"/>
      <c r="P14" s="121"/>
      <c r="Q14" s="119" t="s">
        <v>126</v>
      </c>
    </row>
    <row r="15" spans="1:17" ht="15.75">
      <c r="A15" s="53"/>
      <c r="B15" s="61"/>
      <c r="C15" s="61"/>
      <c r="D15" s="65"/>
      <c r="E15" s="66"/>
      <c r="F15" s="92"/>
      <c r="G15" s="67"/>
      <c r="H15" s="67"/>
      <c r="I15" s="119"/>
      <c r="J15" s="119"/>
      <c r="K15" s="68" t="s">
        <v>274</v>
      </c>
      <c r="L15" s="53"/>
      <c r="M15" s="68" t="s">
        <v>152</v>
      </c>
      <c r="N15" s="53"/>
      <c r="O15" s="68" t="s">
        <v>122</v>
      </c>
      <c r="P15" s="53"/>
      <c r="Q15" s="119"/>
    </row>
    <row r="16" spans="1:17" ht="15.75">
      <c r="A16" s="53"/>
      <c r="B16" s="61"/>
      <c r="C16" s="61"/>
      <c r="D16" s="120" t="s">
        <v>127</v>
      </c>
      <c r="E16" s="120"/>
      <c r="F16" s="87"/>
      <c r="G16" s="69"/>
      <c r="H16" s="70" t="s">
        <v>112</v>
      </c>
      <c r="I16" s="56" t="s">
        <v>115</v>
      </c>
      <c r="J16" s="53">
        <f>COUNTIF(A18:A115,"S")</f>
        <v>22</v>
      </c>
      <c r="K16" s="58">
        <f>SUMIF($A$18:$A$115,"S",$D$18:$D$116)</f>
        <v>6907000</v>
      </c>
      <c r="L16" s="30">
        <f>K16/$K$21</f>
        <v>0.26291553034462795</v>
      </c>
      <c r="M16" s="58">
        <f>SUMIF($A$18:$A$115,"S",$E$18:$E$116)</f>
        <v>2352200</v>
      </c>
      <c r="N16" s="30">
        <f>M16/$M$21</f>
        <v>0.3054719900678098</v>
      </c>
      <c r="O16" s="58">
        <f>SUMIF($A$18:$A$115,"S",$G$18:$G$116)</f>
        <v>1389860</v>
      </c>
      <c r="P16" s="30">
        <f>O16/$O$21</f>
        <v>0.246373600270861</v>
      </c>
      <c r="Q16" s="72">
        <v>0.3</v>
      </c>
    </row>
    <row r="17" spans="1:17" ht="25.5">
      <c r="A17" s="53"/>
      <c r="B17" s="61" t="s">
        <v>24</v>
      </c>
      <c r="C17" s="61"/>
      <c r="D17" s="73" t="s">
        <v>274</v>
      </c>
      <c r="E17" s="98" t="s">
        <v>350</v>
      </c>
      <c r="F17" s="88" t="s">
        <v>275</v>
      </c>
      <c r="G17" s="73" t="s">
        <v>122</v>
      </c>
      <c r="H17" s="70" t="s">
        <v>110</v>
      </c>
      <c r="I17" s="56" t="s">
        <v>116</v>
      </c>
      <c r="J17" s="53">
        <f>COUNTIF($A$18:$A$115,"I")</f>
        <v>26</v>
      </c>
      <c r="K17" s="58">
        <f>SUMIF($A$18:$A$115,"I",$D$18:$D$116)</f>
        <v>2866995</v>
      </c>
      <c r="L17" s="71">
        <f>K17/$K$21</f>
        <v>0.10913240349216687</v>
      </c>
      <c r="M17" s="58">
        <f>SUMIF($A$18:$A$115,"I",$E$18:$E$116)</f>
        <v>630095</v>
      </c>
      <c r="N17" s="71">
        <f>M17/$M$21</f>
        <v>0.0818282346661749</v>
      </c>
      <c r="O17" s="58">
        <f>SUMIF($A$18:$A$115,"I",$G$18:$G$116)</f>
        <v>297670</v>
      </c>
      <c r="P17" s="71">
        <f>O17/$O$21</f>
        <v>0.052766486978995865</v>
      </c>
      <c r="Q17" s="72">
        <v>0.1</v>
      </c>
    </row>
    <row r="18" spans="1:17" ht="15.75">
      <c r="A18" s="74" t="s">
        <v>113</v>
      </c>
      <c r="B18" s="75" t="s">
        <v>347</v>
      </c>
      <c r="C18" s="61"/>
      <c r="D18" s="82">
        <v>350000</v>
      </c>
      <c r="E18" s="81">
        <v>350000</v>
      </c>
      <c r="F18" s="86"/>
      <c r="G18" s="102"/>
      <c r="H18" s="103" t="s">
        <v>109</v>
      </c>
      <c r="I18" s="56" t="s">
        <v>117</v>
      </c>
      <c r="J18" s="53">
        <f>COUNTIF(A18:A115,"E")</f>
        <v>24</v>
      </c>
      <c r="K18" s="58">
        <f>SUMIF($A$18:$A$115,"E",$D$18:$D$116)</f>
        <v>6555000</v>
      </c>
      <c r="L18" s="71">
        <f>K18/$K$21</f>
        <v>0.2495166210234597</v>
      </c>
      <c r="M18" s="58">
        <f>SUMIF($A$18:$A$115,"E",$E$18:$E$116)</f>
        <v>1899120</v>
      </c>
      <c r="N18" s="71">
        <f>M18/$M$21</f>
        <v>0.2466320745589571</v>
      </c>
      <c r="O18" s="58">
        <f>SUMIF($A$18:$A$115,"E",$G$18:$G$116)</f>
        <v>1500000</v>
      </c>
      <c r="P18" s="71">
        <f>O18/$O$21</f>
        <v>0.2658975727096913</v>
      </c>
      <c r="Q18" s="72">
        <v>0.3</v>
      </c>
    </row>
    <row r="19" spans="1:17" ht="15.75">
      <c r="A19" s="74" t="s">
        <v>110</v>
      </c>
      <c r="B19" s="75" t="s">
        <v>208</v>
      </c>
      <c r="C19" s="75"/>
      <c r="D19" s="76">
        <v>350000</v>
      </c>
      <c r="E19" s="85">
        <v>151000</v>
      </c>
      <c r="F19" s="89"/>
      <c r="G19" s="104">
        <v>150615</v>
      </c>
      <c r="H19" s="103" t="s">
        <v>111</v>
      </c>
      <c r="I19" s="56" t="s">
        <v>118</v>
      </c>
      <c r="J19" s="53">
        <f>COUNTIF(A18:A120,"C")</f>
        <v>17</v>
      </c>
      <c r="K19" s="58">
        <f>SUMIF($A$18:$A$115,"C",$D$18:$D$116)</f>
        <v>8490800</v>
      </c>
      <c r="L19" s="71">
        <f>K19/$K$21</f>
        <v>0.32320300927322526</v>
      </c>
      <c r="M19" s="58">
        <f>SUMIF($A$18:$A$115,"C",$E$18:$E$116)</f>
        <v>2448800</v>
      </c>
      <c r="N19" s="71">
        <f>M19/$M$21</f>
        <v>0.31801709432788566</v>
      </c>
      <c r="O19" s="58">
        <f>SUMIF($A$18:$A$115,"C",$G$18:$G$116)</f>
        <v>2453740</v>
      </c>
      <c r="P19" s="71">
        <f>O19/$O$21</f>
        <v>0.43496234004045187</v>
      </c>
      <c r="Q19" s="72">
        <v>0.3</v>
      </c>
    </row>
    <row r="20" spans="1:17" ht="15.75">
      <c r="A20" s="74" t="s">
        <v>110</v>
      </c>
      <c r="B20" s="75" t="s">
        <v>281</v>
      </c>
      <c r="C20" s="75"/>
      <c r="D20" s="76">
        <v>600000</v>
      </c>
      <c r="E20" s="85" t="s">
        <v>349</v>
      </c>
      <c r="F20" s="89"/>
      <c r="G20" s="104"/>
      <c r="H20" s="103" t="s">
        <v>113</v>
      </c>
      <c r="I20" s="56" t="s">
        <v>125</v>
      </c>
      <c r="J20" s="53">
        <f>COUNTIF(A18:A115,"M")</f>
        <v>9</v>
      </c>
      <c r="K20" s="58">
        <f>SUMIF($A$18:$A$115,"M",$D$18:$D$116)</f>
        <v>1451000</v>
      </c>
      <c r="L20" s="71">
        <f>K20/$K$21</f>
        <v>0.05523243586652022</v>
      </c>
      <c r="M20" s="58">
        <f>SUMIF($A$18:$A$115,"M",$E$18:$E$116)</f>
        <v>370000</v>
      </c>
      <c r="N20" s="71">
        <f>M20/$M$21</f>
        <v>0.04805060637917253</v>
      </c>
      <c r="O20" s="58">
        <f>SUMIF($A$18:$A$115,"M",$G$18:$G$116)</f>
        <v>0</v>
      </c>
      <c r="P20" s="71">
        <f>O20/$O$21</f>
        <v>0</v>
      </c>
      <c r="Q20" s="72">
        <v>0</v>
      </c>
    </row>
    <row r="21" spans="1:17" ht="15.75">
      <c r="A21" s="74" t="s">
        <v>111</v>
      </c>
      <c r="B21" s="75" t="s">
        <v>341</v>
      </c>
      <c r="C21" s="75"/>
      <c r="D21" s="76">
        <v>500000</v>
      </c>
      <c r="E21" s="85">
        <v>450000</v>
      </c>
      <c r="F21" s="89"/>
      <c r="G21" s="104">
        <v>450000</v>
      </c>
      <c r="H21" s="105"/>
      <c r="I21" s="77" t="s">
        <v>124</v>
      </c>
      <c r="J21" s="78">
        <f>SUM(J16:J20)</f>
        <v>98</v>
      </c>
      <c r="K21" s="78">
        <f>SUM(K16:K20)</f>
        <v>26270795</v>
      </c>
      <c r="L21" s="78"/>
      <c r="M21" s="78">
        <f>SUM(M16:M20)</f>
        <v>7700215</v>
      </c>
      <c r="N21" s="78"/>
      <c r="O21" s="78">
        <f>SUM(O16:O20)</f>
        <v>5641270</v>
      </c>
      <c r="P21" s="53"/>
      <c r="Q21" s="72"/>
    </row>
    <row r="22" spans="1:17" ht="15.75">
      <c r="A22" s="74" t="s">
        <v>111</v>
      </c>
      <c r="B22" s="75" t="s">
        <v>282</v>
      </c>
      <c r="C22" s="75"/>
      <c r="D22" s="76">
        <v>500000</v>
      </c>
      <c r="E22" s="85">
        <v>0</v>
      </c>
      <c r="F22" s="89"/>
      <c r="G22" s="104"/>
      <c r="H22" s="105"/>
      <c r="I22" s="77"/>
      <c r="J22" s="78"/>
      <c r="K22" s="78"/>
      <c r="L22" s="78"/>
      <c r="M22" s="78"/>
      <c r="N22" s="78"/>
      <c r="O22" s="78"/>
      <c r="P22" s="53"/>
      <c r="Q22" s="72"/>
    </row>
    <row r="23" spans="1:17" ht="15.75">
      <c r="A23" s="74" t="s">
        <v>109</v>
      </c>
      <c r="B23" s="75" t="s">
        <v>283</v>
      </c>
      <c r="C23" s="75"/>
      <c r="D23" s="76">
        <v>2000000</v>
      </c>
      <c r="E23" s="85">
        <f>1600000-100000</f>
        <v>1500000</v>
      </c>
      <c r="F23" s="89"/>
      <c r="G23" s="104">
        <v>1500000</v>
      </c>
      <c r="H23" s="105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74" t="s">
        <v>110</v>
      </c>
      <c r="B24" s="75" t="s">
        <v>220</v>
      </c>
      <c r="C24" s="75"/>
      <c r="D24" s="76">
        <v>104995</v>
      </c>
      <c r="E24" s="85">
        <v>99095</v>
      </c>
      <c r="F24" s="89"/>
      <c r="G24" s="104">
        <v>97055</v>
      </c>
      <c r="H24" s="105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74" t="s">
        <v>112</v>
      </c>
      <c r="B25" s="75" t="s">
        <v>212</v>
      </c>
      <c r="C25" s="75"/>
      <c r="D25" s="76">
        <v>500000</v>
      </c>
      <c r="E25" s="85">
        <v>120000</v>
      </c>
      <c r="F25" s="89"/>
      <c r="G25" s="104">
        <v>120000</v>
      </c>
      <c r="H25" s="105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74" t="s">
        <v>111</v>
      </c>
      <c r="B26" s="75" t="s">
        <v>284</v>
      </c>
      <c r="C26" s="75"/>
      <c r="D26" s="76">
        <v>591800</v>
      </c>
      <c r="E26" s="85">
        <v>485600</v>
      </c>
      <c r="F26" s="89"/>
      <c r="G26" s="104">
        <v>481200</v>
      </c>
      <c r="H26" s="105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74" t="s">
        <v>111</v>
      </c>
      <c r="B27" s="75" t="s">
        <v>215</v>
      </c>
      <c r="C27" s="75"/>
      <c r="D27" s="76">
        <v>35000</v>
      </c>
      <c r="E27" s="85" t="s">
        <v>349</v>
      </c>
      <c r="F27" s="89"/>
      <c r="G27" s="104"/>
      <c r="H27" s="105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74" t="s">
        <v>111</v>
      </c>
      <c r="B28" s="75" t="s">
        <v>285</v>
      </c>
      <c r="C28" s="75"/>
      <c r="D28" s="76">
        <v>600000</v>
      </c>
      <c r="E28" s="85" t="s">
        <v>349</v>
      </c>
      <c r="F28" s="89"/>
      <c r="G28" s="104"/>
      <c r="H28" s="105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74" t="s">
        <v>109</v>
      </c>
      <c r="B29" s="75" t="s">
        <v>286</v>
      </c>
      <c r="C29" s="75"/>
      <c r="D29" s="76">
        <v>50000</v>
      </c>
      <c r="E29" s="85" t="s">
        <v>349</v>
      </c>
      <c r="F29" s="89"/>
      <c r="G29" s="104"/>
      <c r="H29" s="105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74" t="s">
        <v>112</v>
      </c>
      <c r="B30" s="75" t="s">
        <v>287</v>
      </c>
      <c r="C30" s="75"/>
      <c r="D30" s="76">
        <v>200000</v>
      </c>
      <c r="E30" s="85" t="s">
        <v>349</v>
      </c>
      <c r="F30" s="89"/>
      <c r="G30" s="104"/>
      <c r="H30" s="105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74" t="s">
        <v>109</v>
      </c>
      <c r="B31" s="75" t="s">
        <v>288</v>
      </c>
      <c r="C31" s="75"/>
      <c r="D31" s="76">
        <v>100000</v>
      </c>
      <c r="E31" s="85" t="s">
        <v>349</v>
      </c>
      <c r="F31" s="89"/>
      <c r="G31" s="104"/>
      <c r="H31" s="105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74" t="s">
        <v>109</v>
      </c>
      <c r="B32" s="75" t="s">
        <v>289</v>
      </c>
      <c r="C32" s="75"/>
      <c r="D32" s="76">
        <v>50000</v>
      </c>
      <c r="E32" s="85" t="s">
        <v>349</v>
      </c>
      <c r="F32" s="89"/>
      <c r="G32" s="104"/>
      <c r="H32" s="105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74" t="s">
        <v>109</v>
      </c>
      <c r="B33" s="75" t="s">
        <v>290</v>
      </c>
      <c r="C33" s="75"/>
      <c r="D33" s="76">
        <v>500000</v>
      </c>
      <c r="E33" s="85" t="s">
        <v>349</v>
      </c>
      <c r="F33" s="89"/>
      <c r="G33" s="104"/>
      <c r="H33" s="105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74" t="s">
        <v>111</v>
      </c>
      <c r="B34" s="75" t="s">
        <v>351</v>
      </c>
      <c r="C34" s="75"/>
      <c r="D34" s="76">
        <v>100000</v>
      </c>
      <c r="E34" s="85" t="s">
        <v>349</v>
      </c>
      <c r="F34" s="89"/>
      <c r="G34" s="104"/>
      <c r="H34" s="105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74" t="s">
        <v>109</v>
      </c>
      <c r="B35" s="75" t="s">
        <v>352</v>
      </c>
      <c r="C35" s="75"/>
      <c r="D35" s="76">
        <v>300000</v>
      </c>
      <c r="E35" s="85" t="s">
        <v>349</v>
      </c>
      <c r="F35" s="89"/>
      <c r="G35" s="104"/>
      <c r="H35" s="105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74" t="s">
        <v>111</v>
      </c>
      <c r="B36" s="75" t="s">
        <v>353</v>
      </c>
      <c r="C36" s="75"/>
      <c r="D36" s="76">
        <v>856600</v>
      </c>
      <c r="E36" s="85" t="s">
        <v>349</v>
      </c>
      <c r="F36" s="89"/>
      <c r="G36" s="104"/>
      <c r="H36" s="105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74" t="s">
        <v>109</v>
      </c>
      <c r="B37" s="75" t="s">
        <v>291</v>
      </c>
      <c r="C37" s="75"/>
      <c r="D37" s="76">
        <v>30000</v>
      </c>
      <c r="E37" s="85" t="s">
        <v>349</v>
      </c>
      <c r="F37" s="89"/>
      <c r="G37" s="104"/>
      <c r="H37" s="105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74" t="s">
        <v>109</v>
      </c>
      <c r="B38" s="75" t="s">
        <v>250</v>
      </c>
      <c r="C38" s="75"/>
      <c r="D38" s="76">
        <v>60000</v>
      </c>
      <c r="E38" s="85" t="s">
        <v>349</v>
      </c>
      <c r="F38" s="89"/>
      <c r="G38" s="104"/>
      <c r="H38" s="105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74" t="s">
        <v>109</v>
      </c>
      <c r="B39" s="75" t="s">
        <v>292</v>
      </c>
      <c r="C39" s="75"/>
      <c r="D39" s="76">
        <v>600000</v>
      </c>
      <c r="E39" s="85" t="s">
        <v>349</v>
      </c>
      <c r="F39" s="89"/>
      <c r="G39" s="104"/>
      <c r="H39" s="105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74" t="s">
        <v>110</v>
      </c>
      <c r="B40" s="75" t="s">
        <v>293</v>
      </c>
      <c r="C40" s="75"/>
      <c r="D40" s="76">
        <v>160000</v>
      </c>
      <c r="E40" s="85">
        <v>50000</v>
      </c>
      <c r="F40" s="89"/>
      <c r="G40" s="104">
        <v>50000</v>
      </c>
      <c r="H40" s="105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74" t="s">
        <v>110</v>
      </c>
      <c r="B41" s="75" t="s">
        <v>294</v>
      </c>
      <c r="C41" s="75"/>
      <c r="D41" s="76">
        <v>30000</v>
      </c>
      <c r="E41" s="85" t="s">
        <v>349</v>
      </c>
      <c r="F41" s="89"/>
      <c r="G41" s="104"/>
      <c r="H41" s="105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74" t="s">
        <v>110</v>
      </c>
      <c r="B42" s="75" t="s">
        <v>295</v>
      </c>
      <c r="C42" s="75"/>
      <c r="D42" s="76">
        <v>300000</v>
      </c>
      <c r="E42" s="85" t="s">
        <v>349</v>
      </c>
      <c r="F42" s="89"/>
      <c r="G42" s="104"/>
      <c r="H42" s="105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74" t="s">
        <v>110</v>
      </c>
      <c r="B43" s="75" t="s">
        <v>296</v>
      </c>
      <c r="C43" s="75"/>
      <c r="D43" s="76">
        <v>30000</v>
      </c>
      <c r="E43" s="85" t="s">
        <v>349</v>
      </c>
      <c r="F43" s="89"/>
      <c r="G43" s="104"/>
      <c r="H43" s="105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74" t="s">
        <v>110</v>
      </c>
      <c r="B44" s="75" t="s">
        <v>297</v>
      </c>
      <c r="C44" s="75"/>
      <c r="D44" s="76">
        <v>40000</v>
      </c>
      <c r="E44" s="85" t="s">
        <v>349</v>
      </c>
      <c r="F44" s="89"/>
      <c r="G44" s="104"/>
      <c r="H44" s="105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74" t="s">
        <v>110</v>
      </c>
      <c r="B45" s="75" t="s">
        <v>354</v>
      </c>
      <c r="C45" s="75"/>
      <c r="D45" s="76">
        <v>140000</v>
      </c>
      <c r="E45" s="85" t="s">
        <v>349</v>
      </c>
      <c r="F45" s="89"/>
      <c r="G45" s="104"/>
      <c r="H45" s="105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74" t="s">
        <v>109</v>
      </c>
      <c r="B46" s="75" t="s">
        <v>298</v>
      </c>
      <c r="C46" s="75"/>
      <c r="D46" s="76">
        <v>600000</v>
      </c>
      <c r="E46" s="85" t="s">
        <v>349</v>
      </c>
      <c r="F46" s="89"/>
      <c r="G46" s="104"/>
      <c r="H46" s="105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74" t="s">
        <v>111</v>
      </c>
      <c r="B47" s="75" t="s">
        <v>299</v>
      </c>
      <c r="C47" s="75"/>
      <c r="D47" s="76">
        <v>2000000</v>
      </c>
      <c r="E47" s="85" t="s">
        <v>349</v>
      </c>
      <c r="F47" s="89"/>
      <c r="G47" s="104"/>
      <c r="H47" s="105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74" t="s">
        <v>110</v>
      </c>
      <c r="B48" s="75" t="s">
        <v>230</v>
      </c>
      <c r="C48" s="75"/>
      <c r="D48" s="76">
        <v>100000</v>
      </c>
      <c r="E48" s="85" t="s">
        <v>349</v>
      </c>
      <c r="F48" s="89"/>
      <c r="G48" s="104"/>
      <c r="H48" s="105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74" t="s">
        <v>112</v>
      </c>
      <c r="B49" s="75" t="s">
        <v>231</v>
      </c>
      <c r="C49" s="75"/>
      <c r="D49" s="76">
        <v>700000</v>
      </c>
      <c r="E49" s="85" t="s">
        <v>349</v>
      </c>
      <c r="F49" s="89"/>
      <c r="G49" s="104"/>
      <c r="H49" s="105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74" t="s">
        <v>110</v>
      </c>
      <c r="B50" s="75" t="s">
        <v>232</v>
      </c>
      <c r="C50" s="75"/>
      <c r="D50" s="76">
        <v>100000</v>
      </c>
      <c r="E50" s="85" t="s">
        <v>349</v>
      </c>
      <c r="F50" s="89"/>
      <c r="G50" s="104"/>
      <c r="H50" s="105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>
      <c r="A51" s="74" t="s">
        <v>112</v>
      </c>
      <c r="B51" s="75" t="s">
        <v>300</v>
      </c>
      <c r="C51" s="75"/>
      <c r="D51" s="76">
        <v>300000</v>
      </c>
      <c r="E51" s="85" t="s">
        <v>349</v>
      </c>
      <c r="F51" s="89"/>
      <c r="G51" s="104"/>
      <c r="H51" s="105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>
      <c r="A52" s="74" t="s">
        <v>112</v>
      </c>
      <c r="B52" s="75" t="s">
        <v>301</v>
      </c>
      <c r="C52" s="75"/>
      <c r="D52" s="76">
        <v>450000</v>
      </c>
      <c r="E52" s="85" t="s">
        <v>349</v>
      </c>
      <c r="F52" s="89"/>
      <c r="G52" s="104"/>
      <c r="H52" s="105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>
      <c r="A53" s="74" t="s">
        <v>112</v>
      </c>
      <c r="B53" s="75" t="s">
        <v>302</v>
      </c>
      <c r="C53" s="75"/>
      <c r="D53" s="76">
        <v>80000</v>
      </c>
      <c r="E53" s="85">
        <v>80000</v>
      </c>
      <c r="F53" s="89"/>
      <c r="G53" s="104"/>
      <c r="H53" s="105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.75">
      <c r="A54" s="74" t="s">
        <v>112</v>
      </c>
      <c r="B54" s="75" t="s">
        <v>355</v>
      </c>
      <c r="C54" s="75"/>
      <c r="D54" s="76">
        <v>240000</v>
      </c>
      <c r="E54" s="85" t="s">
        <v>349</v>
      </c>
      <c r="F54" s="89"/>
      <c r="G54" s="104"/>
      <c r="H54" s="105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>
      <c r="A55" s="74" t="s">
        <v>112</v>
      </c>
      <c r="B55" s="75" t="s">
        <v>303</v>
      </c>
      <c r="C55" s="75"/>
      <c r="D55" s="76">
        <v>1150000</v>
      </c>
      <c r="E55" s="85">
        <v>975000</v>
      </c>
      <c r="F55" s="89"/>
      <c r="G55" s="104">
        <v>974000</v>
      </c>
      <c r="H55" s="105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>
      <c r="A56" s="74" t="s">
        <v>112</v>
      </c>
      <c r="B56" s="75" t="s">
        <v>238</v>
      </c>
      <c r="C56" s="75"/>
      <c r="D56" s="76">
        <v>250000</v>
      </c>
      <c r="E56" s="85" t="s">
        <v>349</v>
      </c>
      <c r="F56" s="89"/>
      <c r="G56" s="104"/>
      <c r="H56" s="105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.75">
      <c r="A57" s="74" t="s">
        <v>112</v>
      </c>
      <c r="B57" s="75" t="s">
        <v>239</v>
      </c>
      <c r="C57" s="75"/>
      <c r="D57" s="76">
        <v>300000</v>
      </c>
      <c r="E57" s="85" t="s">
        <v>349</v>
      </c>
      <c r="F57" s="89"/>
      <c r="G57" s="104"/>
      <c r="H57" s="105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.75">
      <c r="A58" s="74" t="s">
        <v>112</v>
      </c>
      <c r="B58" s="75" t="s">
        <v>240</v>
      </c>
      <c r="C58" s="75"/>
      <c r="D58" s="76">
        <v>130000</v>
      </c>
      <c r="E58" s="85">
        <v>100000</v>
      </c>
      <c r="F58" s="89"/>
      <c r="G58" s="104">
        <v>99940</v>
      </c>
      <c r="H58" s="105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5.75">
      <c r="A59" s="74" t="s">
        <v>112</v>
      </c>
      <c r="B59" s="75" t="s">
        <v>241</v>
      </c>
      <c r="C59" s="75"/>
      <c r="D59" s="76">
        <v>200000</v>
      </c>
      <c r="E59" s="85">
        <v>112000</v>
      </c>
      <c r="F59" s="89"/>
      <c r="G59" s="104"/>
      <c r="H59" s="105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5.75">
      <c r="A60" s="74" t="s">
        <v>109</v>
      </c>
      <c r="B60" s="75" t="s">
        <v>342</v>
      </c>
      <c r="C60" s="75"/>
      <c r="D60" s="76">
        <v>175000</v>
      </c>
      <c r="E60" s="85">
        <v>72120</v>
      </c>
      <c r="F60" s="89"/>
      <c r="G60" s="104"/>
      <c r="H60" s="105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5.75">
      <c r="A61" s="74" t="s">
        <v>109</v>
      </c>
      <c r="B61" s="75" t="s">
        <v>243</v>
      </c>
      <c r="C61" s="75"/>
      <c r="D61" s="76">
        <v>175000</v>
      </c>
      <c r="E61" s="85" t="s">
        <v>349</v>
      </c>
      <c r="F61" s="89"/>
      <c r="G61" s="104"/>
      <c r="H61" s="105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5.75">
      <c r="A62" s="74" t="s">
        <v>112</v>
      </c>
      <c r="B62" s="47" t="s">
        <v>362</v>
      </c>
      <c r="C62" s="75"/>
      <c r="D62" s="76">
        <v>45000</v>
      </c>
      <c r="E62" s="85">
        <v>45000</v>
      </c>
      <c r="F62" s="89"/>
      <c r="G62" s="104"/>
      <c r="H62" s="105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5.75">
      <c r="A63" s="74" t="s">
        <v>112</v>
      </c>
      <c r="B63" s="47" t="s">
        <v>363</v>
      </c>
      <c r="C63" s="75"/>
      <c r="D63" s="76">
        <v>45000</v>
      </c>
      <c r="E63" s="85">
        <v>45000</v>
      </c>
      <c r="F63" s="89"/>
      <c r="G63" s="104"/>
      <c r="H63" s="105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5.75">
      <c r="A64" s="74" t="s">
        <v>109</v>
      </c>
      <c r="B64" s="75" t="s">
        <v>304</v>
      </c>
      <c r="C64" s="75"/>
      <c r="D64" s="76">
        <v>300000</v>
      </c>
      <c r="E64" s="85" t="s">
        <v>349</v>
      </c>
      <c r="F64" s="89"/>
      <c r="G64" s="104"/>
      <c r="H64" s="105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15.75">
      <c r="A65" s="74" t="s">
        <v>111</v>
      </c>
      <c r="B65" s="75" t="s">
        <v>176</v>
      </c>
      <c r="C65" s="75"/>
      <c r="D65" s="76">
        <v>900000</v>
      </c>
      <c r="E65" s="85">
        <v>550000</v>
      </c>
      <c r="F65" s="89"/>
      <c r="G65" s="104">
        <v>550000</v>
      </c>
      <c r="H65" s="105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5.75">
      <c r="A66" s="74" t="s">
        <v>111</v>
      </c>
      <c r="B66" s="75" t="s">
        <v>305</v>
      </c>
      <c r="C66" s="75"/>
      <c r="D66" s="76">
        <v>1000000</v>
      </c>
      <c r="E66" s="85">
        <v>400000</v>
      </c>
      <c r="F66" s="89"/>
      <c r="G66" s="104">
        <v>400000</v>
      </c>
      <c r="H66" s="105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15.75">
      <c r="A67" s="100" t="s">
        <v>109</v>
      </c>
      <c r="B67" s="75" t="s">
        <v>306</v>
      </c>
      <c r="C67" s="75"/>
      <c r="D67" s="76">
        <v>20000</v>
      </c>
      <c r="E67" s="85" t="s">
        <v>349</v>
      </c>
      <c r="F67" s="89"/>
      <c r="G67" s="104"/>
      <c r="H67" s="105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15.75">
      <c r="A68" s="74" t="s">
        <v>110</v>
      </c>
      <c r="B68" s="75" t="s">
        <v>307</v>
      </c>
      <c r="C68" s="75"/>
      <c r="D68" s="76">
        <v>10000</v>
      </c>
      <c r="E68" s="85" t="s">
        <v>349</v>
      </c>
      <c r="F68" s="89"/>
      <c r="G68" s="104"/>
      <c r="H68" s="105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5.75">
      <c r="A69" s="74" t="s">
        <v>110</v>
      </c>
      <c r="B69" s="75" t="s">
        <v>308</v>
      </c>
      <c r="C69" s="75"/>
      <c r="D69" s="76">
        <v>10000</v>
      </c>
      <c r="E69" s="85">
        <v>10000</v>
      </c>
      <c r="F69" s="89"/>
      <c r="G69" s="104"/>
      <c r="H69" s="105"/>
      <c r="I69" s="53"/>
      <c r="J69" s="53"/>
      <c r="K69" s="53"/>
      <c r="L69" s="53"/>
      <c r="M69" s="53"/>
      <c r="N69" s="53"/>
      <c r="O69" s="53"/>
      <c r="P69" s="53"/>
      <c r="Q69" s="53"/>
    </row>
    <row r="70" spans="1:17" ht="15.75">
      <c r="A70" s="74" t="s">
        <v>110</v>
      </c>
      <c r="B70" s="75" t="s">
        <v>309</v>
      </c>
      <c r="C70" s="75"/>
      <c r="D70" s="76">
        <v>50000</v>
      </c>
      <c r="E70" s="85">
        <v>25000</v>
      </c>
      <c r="F70" s="89"/>
      <c r="G70" s="104"/>
      <c r="H70" s="105"/>
      <c r="I70" s="53"/>
      <c r="J70" s="53"/>
      <c r="K70" s="53"/>
      <c r="L70" s="53"/>
      <c r="M70" s="53"/>
      <c r="N70" s="53"/>
      <c r="O70" s="53"/>
      <c r="P70" s="53"/>
      <c r="Q70" s="53"/>
    </row>
    <row r="71" spans="1:17" ht="15.75">
      <c r="A71" s="74" t="s">
        <v>110</v>
      </c>
      <c r="B71" s="75" t="s">
        <v>310</v>
      </c>
      <c r="C71" s="75"/>
      <c r="D71" s="76">
        <v>20000</v>
      </c>
      <c r="E71" s="85">
        <v>15000</v>
      </c>
      <c r="F71" s="89"/>
      <c r="G71" s="104"/>
      <c r="H71" s="105"/>
      <c r="I71" s="53"/>
      <c r="J71" s="53"/>
      <c r="K71" s="53"/>
      <c r="L71" s="53"/>
      <c r="M71" s="53"/>
      <c r="N71" s="53"/>
      <c r="O71" s="53"/>
      <c r="P71" s="53"/>
      <c r="Q71" s="53"/>
    </row>
    <row r="72" spans="1:17" ht="15.75">
      <c r="A72" s="74" t="s">
        <v>110</v>
      </c>
      <c r="B72" s="75" t="s">
        <v>311</v>
      </c>
      <c r="C72" s="75"/>
      <c r="D72" s="76">
        <v>10000</v>
      </c>
      <c r="E72" s="85" t="s">
        <v>349</v>
      </c>
      <c r="F72" s="89"/>
      <c r="G72" s="104"/>
      <c r="H72" s="105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15.75">
      <c r="A73" s="74" t="s">
        <v>110</v>
      </c>
      <c r="B73" s="75" t="s">
        <v>312</v>
      </c>
      <c r="C73" s="75"/>
      <c r="D73" s="76">
        <v>120000</v>
      </c>
      <c r="E73" s="99" t="s">
        <v>349</v>
      </c>
      <c r="F73" s="89"/>
      <c r="G73" s="104"/>
      <c r="H73" s="105"/>
      <c r="I73" s="53"/>
      <c r="J73" s="53"/>
      <c r="K73" s="53"/>
      <c r="L73" s="53"/>
      <c r="M73" s="53"/>
      <c r="N73" s="53"/>
      <c r="O73" s="53"/>
      <c r="P73" s="53"/>
      <c r="Q73" s="53"/>
    </row>
    <row r="74" spans="1:17" ht="15.75">
      <c r="A74" s="74" t="s">
        <v>110</v>
      </c>
      <c r="B74" s="75" t="s">
        <v>313</v>
      </c>
      <c r="C74" s="75"/>
      <c r="D74" s="76">
        <v>120000</v>
      </c>
      <c r="E74" s="85" t="s">
        <v>349</v>
      </c>
      <c r="F74" s="89"/>
      <c r="G74" s="104"/>
      <c r="H74" s="105"/>
      <c r="I74" s="53"/>
      <c r="J74" s="53"/>
      <c r="K74" s="53"/>
      <c r="L74" s="53"/>
      <c r="M74" s="53"/>
      <c r="N74" s="53"/>
      <c r="O74" s="53"/>
      <c r="P74" s="53"/>
      <c r="Q74" s="53"/>
    </row>
    <row r="75" spans="1:17" ht="15.75">
      <c r="A75" s="74" t="s">
        <v>110</v>
      </c>
      <c r="B75" s="75" t="s">
        <v>314</v>
      </c>
      <c r="C75" s="75"/>
      <c r="D75" s="76">
        <v>20000</v>
      </c>
      <c r="E75" s="85" t="s">
        <v>349</v>
      </c>
      <c r="F75" s="89"/>
      <c r="G75" s="104"/>
      <c r="H75" s="105"/>
      <c r="I75" s="53"/>
      <c r="J75" s="53"/>
      <c r="K75" s="53"/>
      <c r="L75" s="53"/>
      <c r="M75" s="53"/>
      <c r="N75" s="53"/>
      <c r="O75" s="53"/>
      <c r="P75" s="53"/>
      <c r="Q75" s="53"/>
    </row>
    <row r="76" spans="1:17" ht="15.75">
      <c r="A76" s="74" t="s">
        <v>110</v>
      </c>
      <c r="B76" s="75" t="s">
        <v>315</v>
      </c>
      <c r="C76" s="75"/>
      <c r="D76" s="76">
        <v>20000</v>
      </c>
      <c r="E76" s="85" t="s">
        <v>349</v>
      </c>
      <c r="F76" s="89"/>
      <c r="G76" s="104"/>
      <c r="H76" s="105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15.75">
      <c r="A77" s="74" t="s">
        <v>110</v>
      </c>
      <c r="B77" s="75" t="s">
        <v>316</v>
      </c>
      <c r="C77" s="75"/>
      <c r="D77" s="76">
        <v>10000</v>
      </c>
      <c r="E77" s="85" t="s">
        <v>349</v>
      </c>
      <c r="F77" s="89"/>
      <c r="G77" s="104"/>
      <c r="H77" s="105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15.75">
      <c r="A78" s="74" t="s">
        <v>110</v>
      </c>
      <c r="B78" s="75" t="s">
        <v>356</v>
      </c>
      <c r="C78" s="75"/>
      <c r="D78" s="76">
        <v>20000</v>
      </c>
      <c r="E78" s="85" t="s">
        <v>349</v>
      </c>
      <c r="F78" s="89"/>
      <c r="G78" s="104"/>
      <c r="H78" s="105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15.75">
      <c r="A79" s="74" t="s">
        <v>112</v>
      </c>
      <c r="B79" s="75" t="s">
        <v>317</v>
      </c>
      <c r="C79" s="75"/>
      <c r="D79" s="76">
        <v>190000</v>
      </c>
      <c r="E79" s="85">
        <v>171200</v>
      </c>
      <c r="F79" s="89"/>
      <c r="G79" s="104">
        <v>166500</v>
      </c>
      <c r="H79" s="105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5.75">
      <c r="A80" s="74" t="s">
        <v>112</v>
      </c>
      <c r="B80" s="75" t="s">
        <v>98</v>
      </c>
      <c r="C80" s="75"/>
      <c r="D80" s="76">
        <v>1600000</v>
      </c>
      <c r="E80" s="85">
        <f>624000-100000</f>
        <v>524000</v>
      </c>
      <c r="F80" s="89"/>
      <c r="G80" s="104"/>
      <c r="H80" s="105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15.75">
      <c r="A81" s="74" t="s">
        <v>112</v>
      </c>
      <c r="B81" s="75" t="s">
        <v>357</v>
      </c>
      <c r="C81" s="75"/>
      <c r="D81" s="76">
        <v>100000</v>
      </c>
      <c r="E81" s="85" t="s">
        <v>349</v>
      </c>
      <c r="F81" s="89"/>
      <c r="G81" s="104"/>
      <c r="H81" s="105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5.75">
      <c r="A82" s="74" t="s">
        <v>112</v>
      </c>
      <c r="B82" s="75" t="s">
        <v>318</v>
      </c>
      <c r="C82" s="75"/>
      <c r="D82" s="76">
        <v>100000</v>
      </c>
      <c r="E82" s="85" t="s">
        <v>349</v>
      </c>
      <c r="F82" s="89"/>
      <c r="G82" s="104"/>
      <c r="H82" s="105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15.75">
      <c r="A83" s="74" t="s">
        <v>112</v>
      </c>
      <c r="B83" s="47" t="s">
        <v>361</v>
      </c>
      <c r="C83" s="75"/>
      <c r="D83" s="76">
        <v>150000</v>
      </c>
      <c r="E83" s="85">
        <v>150000</v>
      </c>
      <c r="F83" s="89"/>
      <c r="G83" s="104"/>
      <c r="H83" s="105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15.75">
      <c r="A84" s="74" t="s">
        <v>109</v>
      </c>
      <c r="B84" s="75" t="s">
        <v>319</v>
      </c>
      <c r="C84" s="75"/>
      <c r="D84" s="76">
        <v>70000</v>
      </c>
      <c r="E84" s="99" t="s">
        <v>349</v>
      </c>
      <c r="F84" s="89"/>
      <c r="G84" s="104"/>
      <c r="H84" s="105"/>
      <c r="I84" s="53"/>
      <c r="J84" s="53"/>
      <c r="K84" s="53"/>
      <c r="L84" s="53"/>
      <c r="M84" s="53"/>
      <c r="N84" s="53"/>
      <c r="O84" s="53"/>
      <c r="P84" s="53"/>
      <c r="Q84" s="53"/>
    </row>
    <row r="85" spans="1:17" ht="15.75">
      <c r="A85" s="74" t="s">
        <v>111</v>
      </c>
      <c r="B85" s="75" t="s">
        <v>320</v>
      </c>
      <c r="C85" s="75"/>
      <c r="D85" s="76">
        <v>500000</v>
      </c>
      <c r="E85" s="99" t="s">
        <v>349</v>
      </c>
      <c r="F85" s="89"/>
      <c r="G85" s="104"/>
      <c r="H85" s="105"/>
      <c r="I85" s="53"/>
      <c r="J85" s="53"/>
      <c r="K85" s="53"/>
      <c r="L85" s="53"/>
      <c r="M85" s="53"/>
      <c r="N85" s="53"/>
      <c r="O85" s="53"/>
      <c r="P85" s="53"/>
      <c r="Q85" s="53"/>
    </row>
    <row r="86" spans="1:17" ht="15.75">
      <c r="A86" s="74" t="s">
        <v>109</v>
      </c>
      <c r="B86" s="75" t="s">
        <v>321</v>
      </c>
      <c r="C86" s="75"/>
      <c r="D86" s="76">
        <v>50000</v>
      </c>
      <c r="E86" s="99" t="s">
        <v>349</v>
      </c>
      <c r="F86" s="89"/>
      <c r="G86" s="104"/>
      <c r="H86" s="105"/>
      <c r="I86" s="53"/>
      <c r="J86" s="53"/>
      <c r="K86" s="53"/>
      <c r="L86" s="53"/>
      <c r="M86" s="53"/>
      <c r="N86" s="53"/>
      <c r="O86" s="53"/>
      <c r="P86" s="53"/>
      <c r="Q86" s="53"/>
    </row>
    <row r="87" spans="1:17" ht="15.75">
      <c r="A87" s="74" t="s">
        <v>112</v>
      </c>
      <c r="B87" s="75" t="s">
        <v>322</v>
      </c>
      <c r="C87" s="75"/>
      <c r="D87" s="76">
        <v>100000</v>
      </c>
      <c r="E87" s="99" t="s">
        <v>349</v>
      </c>
      <c r="F87" s="89"/>
      <c r="G87" s="104"/>
      <c r="H87" s="105"/>
      <c r="I87" s="53"/>
      <c r="J87" s="53"/>
      <c r="K87" s="53"/>
      <c r="L87" s="53"/>
      <c r="M87" s="53"/>
      <c r="N87" s="53"/>
      <c r="O87" s="53"/>
      <c r="P87" s="53"/>
      <c r="Q87" s="53"/>
    </row>
    <row r="88" spans="1:17" ht="15.75">
      <c r="A88" s="74" t="s">
        <v>111</v>
      </c>
      <c r="B88" s="75" t="s">
        <v>278</v>
      </c>
      <c r="C88" s="75"/>
      <c r="D88" s="76">
        <v>30000</v>
      </c>
      <c r="E88" s="85">
        <v>30000</v>
      </c>
      <c r="F88" s="89"/>
      <c r="G88" s="104">
        <v>30140</v>
      </c>
      <c r="H88" s="105"/>
      <c r="I88" s="53"/>
      <c r="J88" s="53"/>
      <c r="K88" s="53"/>
      <c r="L88" s="53"/>
      <c r="M88" s="53"/>
      <c r="N88" s="53"/>
      <c r="O88" s="53"/>
      <c r="P88" s="53"/>
      <c r="Q88" s="53"/>
    </row>
    <row r="89" spans="1:17" ht="15.75">
      <c r="A89" s="74" t="s">
        <v>112</v>
      </c>
      <c r="B89" s="75" t="s">
        <v>323</v>
      </c>
      <c r="C89" s="75"/>
      <c r="D89" s="76">
        <v>30000</v>
      </c>
      <c r="E89" s="85">
        <v>30000</v>
      </c>
      <c r="F89" s="89"/>
      <c r="G89" s="104">
        <v>29420</v>
      </c>
      <c r="H89" s="105"/>
      <c r="I89" s="53"/>
      <c r="J89" s="53"/>
      <c r="K89" s="53"/>
      <c r="L89" s="53"/>
      <c r="M89" s="53"/>
      <c r="N89" s="53"/>
      <c r="O89" s="53"/>
      <c r="P89" s="53"/>
      <c r="Q89" s="53"/>
    </row>
    <row r="90" spans="1:17" ht="15.75">
      <c r="A90" s="74" t="s">
        <v>109</v>
      </c>
      <c r="B90" s="75" t="s">
        <v>324</v>
      </c>
      <c r="C90" s="75"/>
      <c r="D90" s="76">
        <v>30000</v>
      </c>
      <c r="E90" s="85">
        <v>30000</v>
      </c>
      <c r="F90" s="89"/>
      <c r="G90" s="104"/>
      <c r="H90" s="105"/>
      <c r="I90" s="53"/>
      <c r="J90" s="53"/>
      <c r="K90" s="53"/>
      <c r="L90" s="53"/>
      <c r="M90" s="53"/>
      <c r="N90" s="53"/>
      <c r="O90" s="53"/>
      <c r="P90" s="53"/>
      <c r="Q90" s="53"/>
    </row>
    <row r="91" spans="1:17" ht="15.75">
      <c r="A91" s="74" t="s">
        <v>113</v>
      </c>
      <c r="B91" s="75" t="s">
        <v>325</v>
      </c>
      <c r="C91" s="75"/>
      <c r="D91" s="76">
        <v>44000</v>
      </c>
      <c r="E91" s="85" t="s">
        <v>349</v>
      </c>
      <c r="F91" s="89"/>
      <c r="G91" s="104"/>
      <c r="H91" s="105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15.75">
      <c r="A92" s="74" t="s">
        <v>113</v>
      </c>
      <c r="B92" s="75" t="s">
        <v>326</v>
      </c>
      <c r="C92" s="75"/>
      <c r="D92" s="76">
        <v>57000</v>
      </c>
      <c r="E92" s="85" t="s">
        <v>349</v>
      </c>
      <c r="F92" s="89"/>
      <c r="G92" s="104"/>
      <c r="H92" s="105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5.75">
      <c r="A93" s="74" t="s">
        <v>109</v>
      </c>
      <c r="B93" s="75" t="s">
        <v>327</v>
      </c>
      <c r="C93" s="75"/>
      <c r="D93" s="76">
        <v>45000</v>
      </c>
      <c r="E93" s="85">
        <v>35000</v>
      </c>
      <c r="F93" s="89"/>
      <c r="G93" s="104"/>
      <c r="H93" s="105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15.75">
      <c r="A94" s="74" t="s">
        <v>112</v>
      </c>
      <c r="B94" s="75" t="s">
        <v>358</v>
      </c>
      <c r="C94" s="75"/>
      <c r="D94" s="76">
        <v>47000</v>
      </c>
      <c r="E94" s="85" t="s">
        <v>349</v>
      </c>
      <c r="F94" s="89"/>
      <c r="G94" s="104"/>
      <c r="H94" s="105"/>
      <c r="I94" s="53"/>
      <c r="J94" s="53"/>
      <c r="K94" s="53"/>
      <c r="L94" s="53"/>
      <c r="M94" s="53"/>
      <c r="N94" s="53"/>
      <c r="O94" s="53"/>
      <c r="P94" s="53"/>
      <c r="Q94" s="53"/>
    </row>
    <row r="95" spans="1:17" ht="15.75">
      <c r="A95" s="74" t="s">
        <v>110</v>
      </c>
      <c r="B95" s="75" t="s">
        <v>328</v>
      </c>
      <c r="C95" s="75"/>
      <c r="D95" s="76">
        <v>27000</v>
      </c>
      <c r="E95" s="85" t="s">
        <v>349</v>
      </c>
      <c r="F95" s="89"/>
      <c r="G95" s="104"/>
      <c r="H95" s="105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15.75">
      <c r="A96" s="74" t="s">
        <v>111</v>
      </c>
      <c r="B96" s="75" t="s">
        <v>329</v>
      </c>
      <c r="C96" s="75"/>
      <c r="D96" s="76">
        <v>211200</v>
      </c>
      <c r="E96" s="85">
        <v>211200</v>
      </c>
      <c r="F96" s="89"/>
      <c r="G96" s="104">
        <v>211200</v>
      </c>
      <c r="H96" s="105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15.75">
      <c r="A97" s="74" t="s">
        <v>111</v>
      </c>
      <c r="B97" s="75" t="s">
        <v>330</v>
      </c>
      <c r="C97" s="53"/>
      <c r="D97" s="76">
        <v>170200</v>
      </c>
      <c r="E97" s="85">
        <v>82000</v>
      </c>
      <c r="F97" s="89"/>
      <c r="G97" s="104">
        <v>81400</v>
      </c>
      <c r="H97" s="105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15.75">
      <c r="A98" s="74" t="s">
        <v>111</v>
      </c>
      <c r="B98" s="75" t="s">
        <v>331</v>
      </c>
      <c r="C98" s="53"/>
      <c r="D98" s="79">
        <v>296000</v>
      </c>
      <c r="E98" s="99">
        <v>240000</v>
      </c>
      <c r="F98" s="92"/>
      <c r="G98" s="104">
        <v>239800</v>
      </c>
      <c r="H98" s="105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5.75">
      <c r="A99" s="74" t="s">
        <v>110</v>
      </c>
      <c r="B99" s="75" t="s">
        <v>332</v>
      </c>
      <c r="C99" s="75"/>
      <c r="D99" s="76">
        <v>50000</v>
      </c>
      <c r="E99" s="85" t="s">
        <v>349</v>
      </c>
      <c r="F99" s="90"/>
      <c r="G99" s="104"/>
      <c r="H99" s="105"/>
      <c r="I99" s="53"/>
      <c r="J99" s="53"/>
      <c r="K99" s="53"/>
      <c r="L99" s="53"/>
      <c r="M99" s="53"/>
      <c r="N99" s="53"/>
      <c r="O99" s="53"/>
      <c r="P99" s="53"/>
      <c r="Q99" s="53"/>
    </row>
    <row r="100" spans="1:17" ht="15.75">
      <c r="A100" s="74" t="s">
        <v>109</v>
      </c>
      <c r="B100" s="75" t="s">
        <v>360</v>
      </c>
      <c r="C100" s="75"/>
      <c r="D100" s="76">
        <v>800000</v>
      </c>
      <c r="E100" s="85" t="s">
        <v>349</v>
      </c>
      <c r="F100" s="90"/>
      <c r="G100" s="104"/>
      <c r="H100" s="105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>
      <c r="A101" s="74" t="s">
        <v>109</v>
      </c>
      <c r="B101" s="75" t="s">
        <v>333</v>
      </c>
      <c r="C101" s="75"/>
      <c r="D101" s="76">
        <v>250000</v>
      </c>
      <c r="E101" s="85">
        <v>212000</v>
      </c>
      <c r="F101" s="89"/>
      <c r="G101" s="104"/>
      <c r="H101" s="105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ht="15.75">
      <c r="A102" s="74" t="s">
        <v>110</v>
      </c>
      <c r="B102" s="75" t="s">
        <v>334</v>
      </c>
      <c r="C102" s="75"/>
      <c r="D102" s="76">
        <v>25000</v>
      </c>
      <c r="E102" s="85" t="s">
        <v>349</v>
      </c>
      <c r="F102" s="91"/>
      <c r="G102" s="104"/>
      <c r="H102" s="105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 ht="15.75">
      <c r="A103" s="74" t="s">
        <v>113</v>
      </c>
      <c r="B103" s="75" t="s">
        <v>335</v>
      </c>
      <c r="C103" s="75"/>
      <c r="D103" s="76">
        <v>10000</v>
      </c>
      <c r="E103" s="85" t="s">
        <v>349</v>
      </c>
      <c r="F103" s="92"/>
      <c r="G103" s="104"/>
      <c r="H103" s="105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 ht="15.75">
      <c r="A104" s="74" t="s">
        <v>109</v>
      </c>
      <c r="B104" s="75" t="s">
        <v>338</v>
      </c>
      <c r="C104" s="75"/>
      <c r="D104" s="76">
        <v>75000</v>
      </c>
      <c r="E104" s="85" t="s">
        <v>349</v>
      </c>
      <c r="F104" s="92"/>
      <c r="G104" s="104"/>
      <c r="H104" s="105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 ht="15.75">
      <c r="A105" s="74" t="s">
        <v>109</v>
      </c>
      <c r="B105" s="75" t="s">
        <v>337</v>
      </c>
      <c r="C105" s="75"/>
      <c r="D105" s="76">
        <v>75000</v>
      </c>
      <c r="E105" s="85">
        <v>50000</v>
      </c>
      <c r="F105" s="92"/>
      <c r="G105" s="104"/>
      <c r="H105" s="105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ht="15.75">
      <c r="A106" s="74" t="s">
        <v>110</v>
      </c>
      <c r="B106" s="75" t="s">
        <v>336</v>
      </c>
      <c r="C106" s="75"/>
      <c r="D106" s="76">
        <v>400000</v>
      </c>
      <c r="E106" s="85">
        <v>280000</v>
      </c>
      <c r="F106" s="89"/>
      <c r="G106" s="104"/>
      <c r="H106" s="105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 ht="15.75">
      <c r="A107" s="74" t="s">
        <v>113</v>
      </c>
      <c r="B107" s="75" t="s">
        <v>359</v>
      </c>
      <c r="C107" s="75"/>
      <c r="D107" s="76">
        <v>300000</v>
      </c>
      <c r="E107" s="85"/>
      <c r="F107" s="92"/>
      <c r="G107" s="104"/>
      <c r="H107" s="105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ht="15.75">
      <c r="A108" s="74" t="s">
        <v>113</v>
      </c>
      <c r="B108" s="75" t="s">
        <v>359</v>
      </c>
      <c r="C108" s="53"/>
      <c r="D108" s="76">
        <v>300000</v>
      </c>
      <c r="E108" s="56"/>
      <c r="F108" s="92"/>
      <c r="G108" s="104"/>
      <c r="H108" s="105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ht="15.75">
      <c r="A109" s="74" t="s">
        <v>113</v>
      </c>
      <c r="B109" s="75" t="s">
        <v>359</v>
      </c>
      <c r="C109" s="53"/>
      <c r="D109" s="76">
        <v>300000</v>
      </c>
      <c r="E109" s="56"/>
      <c r="F109" s="92"/>
      <c r="G109" s="104"/>
      <c r="H109" s="105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ht="15.75">
      <c r="A110" s="74" t="s">
        <v>113</v>
      </c>
      <c r="B110" s="75" t="s">
        <v>339</v>
      </c>
      <c r="C110" s="53"/>
      <c r="D110" s="76">
        <v>50000</v>
      </c>
      <c r="E110" s="85">
        <v>20000</v>
      </c>
      <c r="F110" s="92"/>
      <c r="G110" s="104"/>
      <c r="H110" s="105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1:17" ht="15.75">
      <c r="A111" s="74" t="s">
        <v>113</v>
      </c>
      <c r="B111" s="75" t="s">
        <v>340</v>
      </c>
      <c r="C111" s="53"/>
      <c r="D111" s="76">
        <v>40000</v>
      </c>
      <c r="E111" s="85" t="s">
        <v>349</v>
      </c>
      <c r="F111" s="92"/>
      <c r="G111" s="104"/>
      <c r="H111" s="105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ht="15.75">
      <c r="A112" s="100" t="s">
        <v>111</v>
      </c>
      <c r="B112" s="75" t="s">
        <v>406</v>
      </c>
      <c r="C112" s="53"/>
      <c r="D112" s="76"/>
      <c r="E112" s="85"/>
      <c r="F112" s="92"/>
      <c r="G112" s="104">
        <v>10000</v>
      </c>
      <c r="H112" s="105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>
      <c r="A113" s="74" t="s">
        <v>109</v>
      </c>
      <c r="B113" s="75" t="s">
        <v>343</v>
      </c>
      <c r="C113" s="53"/>
      <c r="D113" s="76">
        <v>100000</v>
      </c>
      <c r="E113" s="85" t="s">
        <v>349</v>
      </c>
      <c r="F113" s="92"/>
      <c r="G113" s="104"/>
      <c r="H113" s="105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5.75">
      <c r="A114" s="74" t="s">
        <v>111</v>
      </c>
      <c r="B114" s="75" t="s">
        <v>344</v>
      </c>
      <c r="C114" s="53"/>
      <c r="D114" s="76">
        <v>200000</v>
      </c>
      <c r="E114" s="85" t="s">
        <v>349</v>
      </c>
      <c r="F114" s="92"/>
      <c r="G114" s="104"/>
      <c r="H114" s="105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5.75">
      <c r="A115" s="74" t="s">
        <v>109</v>
      </c>
      <c r="B115" s="75" t="s">
        <v>345</v>
      </c>
      <c r="C115" s="53"/>
      <c r="D115" s="76">
        <v>100000</v>
      </c>
      <c r="E115" s="85" t="s">
        <v>349</v>
      </c>
      <c r="F115" s="92"/>
      <c r="G115" s="76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5.75">
      <c r="A116" s="53"/>
      <c r="B116" s="75" t="s">
        <v>348</v>
      </c>
      <c r="C116" s="53"/>
      <c r="D116" s="76">
        <v>500000</v>
      </c>
      <c r="E116" s="85"/>
      <c r="F116" s="94"/>
      <c r="G116" s="76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>
      <c r="A117" s="53"/>
      <c r="B117" s="75"/>
      <c r="C117" s="53"/>
      <c r="D117" s="76"/>
      <c r="E117" s="53"/>
      <c r="F117" s="9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">
      <c r="A118" s="53"/>
      <c r="B118" s="53"/>
      <c r="C118" s="53"/>
      <c r="D118" s="80">
        <f>SUM(D18:D116)</f>
        <v>26770795</v>
      </c>
      <c r="E118" s="80">
        <f>SUM(E18:E116)</f>
        <v>7700215</v>
      </c>
      <c r="F118" s="96">
        <f>SUM(F18:F116)</f>
        <v>0</v>
      </c>
      <c r="G118" s="80">
        <f>SUM(G18:G116)</f>
        <v>5641270</v>
      </c>
      <c r="H118" s="53"/>
      <c r="I118" s="101">
        <f>G118/E118</f>
        <v>0.7326120114827963</v>
      </c>
      <c r="J118" s="53"/>
      <c r="K118" s="53"/>
      <c r="L118" s="53"/>
      <c r="M118" s="53"/>
      <c r="N118" s="53"/>
      <c r="O118" s="53"/>
      <c r="P118" s="53"/>
      <c r="Q118" s="53"/>
    </row>
    <row r="119" spans="1:17" ht="15.75">
      <c r="A119" s="53"/>
      <c r="B119" s="53"/>
      <c r="C119" s="53"/>
      <c r="D119" s="80"/>
      <c r="E119" s="80"/>
      <c r="F119" s="90"/>
      <c r="G119" s="8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5.75">
      <c r="A120" s="53"/>
      <c r="B120" s="53"/>
      <c r="C120" s="53"/>
      <c r="D120" s="83"/>
      <c r="E120" s="54"/>
      <c r="F120" s="92"/>
      <c r="G120" s="76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4:17" s="20" customFormat="1" ht="13.5" customHeight="1">
      <c r="D121" s="84">
        <f>D14-D118</f>
        <v>-18853606.457857147</v>
      </c>
      <c r="E121" s="84">
        <f>D14-E118</f>
        <v>216973.54214285128</v>
      </c>
      <c r="F121" s="97">
        <f>D14-F118</f>
        <v>7917188.542142851</v>
      </c>
      <c r="G121" s="84">
        <f>D14-G118</f>
        <v>2275918.5421428513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</sheetData>
  <sheetProtection/>
  <mergeCells count="5">
    <mergeCell ref="Q14:Q15"/>
    <mergeCell ref="D16:E16"/>
    <mergeCell ref="I14:I15"/>
    <mergeCell ref="J14:J15"/>
    <mergeCell ref="K14:P14"/>
  </mergeCells>
  <conditionalFormatting sqref="L16">
    <cfRule type="cellIs" priority="15" dxfId="0" operator="greaterThan" stopIfTrue="1">
      <formula>$Q$16</formula>
    </cfRule>
  </conditionalFormatting>
  <conditionalFormatting sqref="L17">
    <cfRule type="cellIs" priority="14" dxfId="0" operator="greaterThan" stopIfTrue="1">
      <formula>$Q$17</formula>
    </cfRule>
  </conditionalFormatting>
  <conditionalFormatting sqref="L18">
    <cfRule type="cellIs" priority="13" dxfId="0" operator="greaterThan" stopIfTrue="1">
      <formula>$Q$18</formula>
    </cfRule>
  </conditionalFormatting>
  <conditionalFormatting sqref="L19">
    <cfRule type="cellIs" priority="12" dxfId="0" operator="greaterThan" stopIfTrue="1">
      <formula>$Q$19</formula>
    </cfRule>
  </conditionalFormatting>
  <conditionalFormatting sqref="L20">
    <cfRule type="cellIs" priority="11" dxfId="0" operator="greaterThan" stopIfTrue="1">
      <formula>$Q$20</formula>
    </cfRule>
  </conditionalFormatting>
  <conditionalFormatting sqref="N16">
    <cfRule type="cellIs" priority="10" dxfId="0" operator="greaterThan" stopIfTrue="1">
      <formula>$Q$16</formula>
    </cfRule>
  </conditionalFormatting>
  <conditionalFormatting sqref="N17">
    <cfRule type="cellIs" priority="9" dxfId="0" operator="greaterThan" stopIfTrue="1">
      <formula>$Q$17</formula>
    </cfRule>
  </conditionalFormatting>
  <conditionalFormatting sqref="N18">
    <cfRule type="cellIs" priority="8" dxfId="0" operator="greaterThan" stopIfTrue="1">
      <formula>$Q$18</formula>
    </cfRule>
  </conditionalFormatting>
  <conditionalFormatting sqref="N19">
    <cfRule type="cellIs" priority="7" dxfId="0" operator="greaterThan" stopIfTrue="1">
      <formula>$Q$19</formula>
    </cfRule>
  </conditionalFormatting>
  <conditionalFormatting sqref="N20">
    <cfRule type="cellIs" priority="6" dxfId="0" operator="greaterThan" stopIfTrue="1">
      <formula>$Q$20</formula>
    </cfRule>
  </conditionalFormatting>
  <conditionalFormatting sqref="P16">
    <cfRule type="cellIs" priority="5" dxfId="0" operator="greaterThan" stopIfTrue="1">
      <formula>$Q$16</formula>
    </cfRule>
  </conditionalFormatting>
  <conditionalFormatting sqref="P17">
    <cfRule type="cellIs" priority="4" dxfId="0" operator="greaterThan" stopIfTrue="1">
      <formula>$Q$17</formula>
    </cfRule>
  </conditionalFormatting>
  <conditionalFormatting sqref="P18">
    <cfRule type="cellIs" priority="3" dxfId="0" operator="greaterThan" stopIfTrue="1">
      <formula>$Q$18</formula>
    </cfRule>
  </conditionalFormatting>
  <conditionalFormatting sqref="P19">
    <cfRule type="cellIs" priority="2" dxfId="0" operator="greaterThan" stopIfTrue="1">
      <formula>$Q$19</formula>
    </cfRule>
  </conditionalFormatting>
  <conditionalFormatting sqref="P20">
    <cfRule type="cellIs" priority="1" dxfId="0" operator="greaterThan" stopIfTrue="1">
      <formula>$Q$20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4.7109375" style="95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408</v>
      </c>
    </row>
    <row r="3" ht="15">
      <c r="B3" s="20" t="s">
        <v>409</v>
      </c>
    </row>
    <row r="4" ht="15">
      <c r="B4" s="20"/>
    </row>
    <row r="5" spans="1:17" ht="15">
      <c r="A5" s="53"/>
      <c r="B5" s="54" t="s">
        <v>26</v>
      </c>
      <c r="C5" s="54"/>
      <c r="D5" s="55">
        <f>D7*D8</f>
        <v>5649840</v>
      </c>
      <c r="E5" s="55"/>
      <c r="F5" s="9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">
      <c r="A6" s="53"/>
      <c r="B6" s="56" t="s">
        <v>55</v>
      </c>
      <c r="C6" s="57" t="s">
        <v>129</v>
      </c>
      <c r="D6" s="58">
        <v>2346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3"/>
      <c r="C7" s="57" t="s">
        <v>128</v>
      </c>
      <c r="D7" s="58">
        <v>2242</v>
      </c>
      <c r="E7" s="5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6" t="s">
        <v>56</v>
      </c>
      <c r="C8" s="54"/>
      <c r="D8" s="58">
        <v>2520</v>
      </c>
      <c r="E8" s="58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4" t="s">
        <v>27</v>
      </c>
      <c r="C9" s="54"/>
      <c r="D9" s="55">
        <f>-(D5-(D5/1.12))</f>
        <v>-605340.0000000009</v>
      </c>
      <c r="E9" s="55">
        <f>D5+D9</f>
        <v>5044499.999999999</v>
      </c>
      <c r="F9" s="9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346</v>
      </c>
      <c r="C10" s="54"/>
      <c r="D10" s="55">
        <v>0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30</v>
      </c>
      <c r="C11" s="54"/>
      <c r="D11" s="60">
        <f>'SPRING 2014'!G121</f>
        <v>2275918.5421428513</v>
      </c>
      <c r="E11" s="55"/>
      <c r="F11" s="9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75">
      <c r="A12" s="53"/>
      <c r="B12" s="61" t="s">
        <v>29</v>
      </c>
      <c r="C12" s="62"/>
      <c r="D12" s="63">
        <f>SUM(D5,D9:D11)</f>
        <v>7320418.54214285</v>
      </c>
      <c r="E12" s="64"/>
      <c r="F12" s="92"/>
      <c r="G12" s="53"/>
      <c r="H12" s="53"/>
      <c r="I12" s="119" t="s">
        <v>119</v>
      </c>
      <c r="J12" s="119" t="s">
        <v>120</v>
      </c>
      <c r="K12" s="121" t="s">
        <v>123</v>
      </c>
      <c r="L12" s="121"/>
      <c r="M12" s="121"/>
      <c r="N12" s="121"/>
      <c r="O12" s="121"/>
      <c r="P12" s="121"/>
      <c r="Q12" s="119" t="s">
        <v>126</v>
      </c>
    </row>
    <row r="13" spans="1:17" ht="15.75">
      <c r="A13" s="53"/>
      <c r="B13" s="61"/>
      <c r="C13" s="61"/>
      <c r="D13" s="65"/>
      <c r="E13" s="66"/>
      <c r="F13" s="92"/>
      <c r="G13" s="67"/>
      <c r="H13" s="67"/>
      <c r="I13" s="119"/>
      <c r="J13" s="119"/>
      <c r="K13" s="68" t="s">
        <v>274</v>
      </c>
      <c r="L13" s="53"/>
      <c r="M13" s="68" t="s">
        <v>152</v>
      </c>
      <c r="N13" s="53"/>
      <c r="O13" s="68" t="s">
        <v>122</v>
      </c>
      <c r="P13" s="53"/>
      <c r="Q13" s="119"/>
    </row>
    <row r="14" spans="1:17" ht="15.75">
      <c r="A14" s="53"/>
      <c r="B14" s="61"/>
      <c r="C14" s="61"/>
      <c r="D14" s="120" t="s">
        <v>127</v>
      </c>
      <c r="E14" s="120"/>
      <c r="F14" s="87"/>
      <c r="G14" s="69"/>
      <c r="H14" s="70" t="s">
        <v>112</v>
      </c>
      <c r="I14" s="56" t="s">
        <v>115</v>
      </c>
      <c r="J14" s="53">
        <f>COUNTIF(A16:A57,"S")</f>
        <v>9</v>
      </c>
      <c r="K14" s="58">
        <f>SUMIF($A$16:$A$57,"S",$D$16:$D$57)</f>
        <v>3210000</v>
      </c>
      <c r="L14" s="30">
        <f>K14/$K$19</f>
        <v>0.16273714756761196</v>
      </c>
      <c r="M14" s="58">
        <f>SUMIF($A$16:$A$57,"S",$E$16:$E$57)</f>
        <v>675000</v>
      </c>
      <c r="N14" s="30">
        <f>M14/$M$19</f>
        <v>0.22131147540983606</v>
      </c>
      <c r="O14" s="58">
        <f>SUMIF($A$16:$A$57,"S",$G$16:$G$57)</f>
        <v>675000</v>
      </c>
      <c r="P14" s="30">
        <f>O14/$O$19</f>
        <v>0.18752697262956322</v>
      </c>
      <c r="Q14" s="72">
        <v>0.3</v>
      </c>
    </row>
    <row r="15" spans="1:17" ht="25.5">
      <c r="A15" s="53"/>
      <c r="B15" s="61" t="s">
        <v>24</v>
      </c>
      <c r="C15" s="61"/>
      <c r="D15" s="73" t="s">
        <v>274</v>
      </c>
      <c r="E15" s="98" t="s">
        <v>350</v>
      </c>
      <c r="F15" s="88" t="s">
        <v>275</v>
      </c>
      <c r="G15" s="73" t="s">
        <v>122</v>
      </c>
      <c r="H15" s="70" t="s">
        <v>110</v>
      </c>
      <c r="I15" s="56" t="s">
        <v>116</v>
      </c>
      <c r="J15" s="53">
        <f>COUNTIF($A$16:$A$57,"I")</f>
        <v>6</v>
      </c>
      <c r="K15" s="58">
        <f>SUMIF($A$16:$A$57,"I",$D$16:$D$57)</f>
        <v>1207260</v>
      </c>
      <c r="L15" s="71">
        <f>K15/$K$19</f>
        <v>0.061204376564634025</v>
      </c>
      <c r="M15" s="58">
        <f>SUMIF($A$16:$A$57,"I",$E$16:$E$57)</f>
        <v>0</v>
      </c>
      <c r="N15" s="71">
        <f>M15/$M$19</f>
        <v>0</v>
      </c>
      <c r="O15" s="58">
        <f>SUMIF($A$16:$A$57,"I",$G$16:$G$57)</f>
        <v>0</v>
      </c>
      <c r="P15" s="71">
        <f>O15/$O$19</f>
        <v>0</v>
      </c>
      <c r="Q15" s="72">
        <v>0.1</v>
      </c>
    </row>
    <row r="16" spans="1:17" ht="15.75">
      <c r="A16" s="74" t="s">
        <v>109</v>
      </c>
      <c r="B16" s="75" t="s">
        <v>366</v>
      </c>
      <c r="C16" s="61"/>
      <c r="D16" s="82">
        <v>1200000</v>
      </c>
      <c r="E16" s="81"/>
      <c r="F16" s="86"/>
      <c r="G16" s="73"/>
      <c r="H16" s="70" t="s">
        <v>109</v>
      </c>
      <c r="I16" s="56" t="s">
        <v>117</v>
      </c>
      <c r="J16" s="53">
        <f>COUNTIF(A16:A57,"E")</f>
        <v>15</v>
      </c>
      <c r="K16" s="58">
        <f>SUMIF($A$16:$A$57,"E",$D$16:$D$57)</f>
        <v>9666900</v>
      </c>
      <c r="L16" s="71">
        <f>K16/$K$19</f>
        <v>0.49008215944590283</v>
      </c>
      <c r="M16" s="58">
        <f>SUMIF($A$16:$A$57,"E",$E$16:$E$57)</f>
        <v>1375000</v>
      </c>
      <c r="N16" s="71">
        <f>M16/$M$19</f>
        <v>0.45081967213114754</v>
      </c>
      <c r="O16" s="58">
        <f>SUMIF($A$16:$A$57,"E",$G$16:$G$57)</f>
        <v>1769815.2</v>
      </c>
      <c r="P16" s="71">
        <f>O16/$O$19</f>
        <v>0.49168605417745914</v>
      </c>
      <c r="Q16" s="72">
        <v>0.3</v>
      </c>
    </row>
    <row r="17" spans="1:17" ht="15.75">
      <c r="A17" s="74" t="s">
        <v>111</v>
      </c>
      <c r="B17" s="75" t="s">
        <v>367</v>
      </c>
      <c r="C17" s="75"/>
      <c r="D17" s="76">
        <v>1050000</v>
      </c>
      <c r="E17" s="85">
        <v>1000000</v>
      </c>
      <c r="F17" s="89"/>
      <c r="G17" s="76">
        <v>1000000</v>
      </c>
      <c r="H17" s="70" t="s">
        <v>111</v>
      </c>
      <c r="I17" s="56" t="s">
        <v>118</v>
      </c>
      <c r="J17" s="53">
        <f>COUNTIF(A16:A62,"C")</f>
        <v>3</v>
      </c>
      <c r="K17" s="58">
        <f>SUMIF($A$16:$A$57,"C",$D$16:$D$57)</f>
        <v>2150000</v>
      </c>
      <c r="L17" s="71">
        <f>K17/$K$19</f>
        <v>0.10899840101880552</v>
      </c>
      <c r="M17" s="58">
        <f>SUMIF($A$16:$A$57,"C",$E$16:$E$57)</f>
        <v>1000000</v>
      </c>
      <c r="N17" s="71">
        <f>M17/$M$19</f>
        <v>0.32786885245901637</v>
      </c>
      <c r="O17" s="58">
        <f>SUMIF($A$16:$A$57,"C",$G$16:$G$57)</f>
        <v>1079667</v>
      </c>
      <c r="P17" s="71">
        <f>O17/$O$19</f>
        <v>0.29995064290080387</v>
      </c>
      <c r="Q17" s="72">
        <v>0.3</v>
      </c>
    </row>
    <row r="18" spans="1:17" ht="15.75">
      <c r="A18" s="74" t="s">
        <v>111</v>
      </c>
      <c r="B18" s="75" t="s">
        <v>368</v>
      </c>
      <c r="C18" s="75"/>
      <c r="D18" s="76">
        <v>1100000</v>
      </c>
      <c r="E18" s="85"/>
      <c r="F18" s="89"/>
      <c r="G18" s="76"/>
      <c r="H18" s="70" t="s">
        <v>113</v>
      </c>
      <c r="I18" s="56" t="s">
        <v>125</v>
      </c>
      <c r="J18" s="53">
        <f>COUNTIF(A16:A57,"M")</f>
        <v>9</v>
      </c>
      <c r="K18" s="58">
        <f>SUMIF($A$16:$A$57,"M",$D$16:$D$57)</f>
        <v>3490900</v>
      </c>
      <c r="L18" s="71">
        <f>K18/$K$19</f>
        <v>0.17697791540304567</v>
      </c>
      <c r="M18" s="58">
        <f>SUMIF($A$16:$A$57,"M",$E$16:$E$57)</f>
        <v>0</v>
      </c>
      <c r="N18" s="71">
        <f>M18/$M$19</f>
        <v>0</v>
      </c>
      <c r="O18" s="58">
        <f>SUMIF($A$16:$A$57,"M",$G$16:$G$57)</f>
        <v>75000</v>
      </c>
      <c r="P18" s="71">
        <f>O18/$O$19</f>
        <v>0.02083633029217369</v>
      </c>
      <c r="Q18" s="72">
        <v>0</v>
      </c>
    </row>
    <row r="19" spans="1:17" ht="15.75">
      <c r="A19" s="74" t="s">
        <v>110</v>
      </c>
      <c r="B19" s="75" t="s">
        <v>369</v>
      </c>
      <c r="C19" s="75"/>
      <c r="D19" s="76">
        <v>63960</v>
      </c>
      <c r="E19" s="85"/>
      <c r="F19" s="89"/>
      <c r="G19" s="76"/>
      <c r="H19" s="53"/>
      <c r="I19" s="77" t="s">
        <v>124</v>
      </c>
      <c r="J19" s="78">
        <f>SUM(J14:J18)</f>
        <v>42</v>
      </c>
      <c r="K19" s="78">
        <f>SUM(K14:K18)</f>
        <v>19725060</v>
      </c>
      <c r="L19" s="78"/>
      <c r="M19" s="78">
        <f>SUM(M14:M18)</f>
        <v>3050000</v>
      </c>
      <c r="N19" s="78"/>
      <c r="O19" s="78">
        <f>SUM(O14:O18)</f>
        <v>3599482.2</v>
      </c>
      <c r="P19" s="53"/>
      <c r="Q19" s="72"/>
    </row>
    <row r="20" spans="1:17" ht="15.75">
      <c r="A20" s="74" t="s">
        <v>112</v>
      </c>
      <c r="B20" s="75" t="s">
        <v>370</v>
      </c>
      <c r="C20" s="75"/>
      <c r="D20" s="76">
        <v>350000</v>
      </c>
      <c r="E20" s="85"/>
      <c r="F20" s="89"/>
      <c r="G20" s="76"/>
      <c r="H20" s="53"/>
      <c r="I20" s="77"/>
      <c r="J20" s="78"/>
      <c r="K20" s="78"/>
      <c r="L20" s="78"/>
      <c r="M20" s="78"/>
      <c r="N20" s="78"/>
      <c r="O20" s="78"/>
      <c r="P20" s="53"/>
      <c r="Q20" s="72"/>
    </row>
    <row r="21" spans="1:17" ht="15.75">
      <c r="A21" s="74" t="s">
        <v>109</v>
      </c>
      <c r="B21" s="75" t="s">
        <v>371</v>
      </c>
      <c r="C21" s="75"/>
      <c r="D21" s="76">
        <v>393000</v>
      </c>
      <c r="E21" s="85"/>
      <c r="F21" s="89"/>
      <c r="G21" s="76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5.75">
      <c r="A22" s="74" t="s">
        <v>109</v>
      </c>
      <c r="B22" s="75" t="s">
        <v>372</v>
      </c>
      <c r="C22" s="75"/>
      <c r="D22" s="76">
        <v>500000</v>
      </c>
      <c r="E22" s="85"/>
      <c r="F22" s="89"/>
      <c r="G22" s="76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74" t="s">
        <v>109</v>
      </c>
      <c r="B23" s="75" t="s">
        <v>373</v>
      </c>
      <c r="C23" s="75"/>
      <c r="D23" s="76">
        <v>330000</v>
      </c>
      <c r="E23" s="85"/>
      <c r="F23" s="89"/>
      <c r="G23" s="76">
        <v>267500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74" t="s">
        <v>109</v>
      </c>
      <c r="B24" s="75" t="s">
        <v>374</v>
      </c>
      <c r="C24" s="75"/>
      <c r="D24" s="76">
        <v>1150000</v>
      </c>
      <c r="E24" s="85"/>
      <c r="F24" s="89"/>
      <c r="G24" s="76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74" t="s">
        <v>112</v>
      </c>
      <c r="B25" s="75" t="s">
        <v>375</v>
      </c>
      <c r="C25" s="75"/>
      <c r="D25" s="76">
        <v>200000</v>
      </c>
      <c r="E25" s="85"/>
      <c r="F25" s="89"/>
      <c r="G25" s="76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74" t="s">
        <v>109</v>
      </c>
      <c r="B26" s="75" t="s">
        <v>376</v>
      </c>
      <c r="C26" s="75"/>
      <c r="D26" s="76">
        <v>150000</v>
      </c>
      <c r="E26" s="85"/>
      <c r="F26" s="89"/>
      <c r="G26" s="76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74" t="s">
        <v>112</v>
      </c>
      <c r="B27" s="75" t="s">
        <v>377</v>
      </c>
      <c r="C27" s="75"/>
      <c r="D27" s="76">
        <v>130000</v>
      </c>
      <c r="E27" s="85"/>
      <c r="F27" s="89"/>
      <c r="G27" s="76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74" t="s">
        <v>110</v>
      </c>
      <c r="B28" s="75" t="s">
        <v>378</v>
      </c>
      <c r="C28" s="75"/>
      <c r="D28" s="76">
        <v>70000</v>
      </c>
      <c r="E28" s="85"/>
      <c r="F28" s="89"/>
      <c r="G28" s="76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74" t="s">
        <v>112</v>
      </c>
      <c r="B29" s="75" t="s">
        <v>379</v>
      </c>
      <c r="C29" s="75"/>
      <c r="D29" s="76">
        <v>300000</v>
      </c>
      <c r="E29" s="85"/>
      <c r="F29" s="89"/>
      <c r="G29" s="76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74" t="s">
        <v>109</v>
      </c>
      <c r="B30" s="75" t="s">
        <v>380</v>
      </c>
      <c r="C30" s="75"/>
      <c r="D30" s="76">
        <v>63000</v>
      </c>
      <c r="E30" s="85"/>
      <c r="F30" s="89"/>
      <c r="G30" s="76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74" t="s">
        <v>109</v>
      </c>
      <c r="B31" s="75" t="s">
        <v>381</v>
      </c>
      <c r="C31" s="75"/>
      <c r="D31" s="76">
        <v>1300000</v>
      </c>
      <c r="E31" s="85"/>
      <c r="F31" s="89"/>
      <c r="G31" s="76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74" t="s">
        <v>112</v>
      </c>
      <c r="B32" s="75" t="s">
        <v>382</v>
      </c>
      <c r="C32" s="75"/>
      <c r="D32" s="76">
        <v>160000</v>
      </c>
      <c r="E32" s="85"/>
      <c r="F32" s="89"/>
      <c r="G32" s="76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74" t="s">
        <v>109</v>
      </c>
      <c r="B33" s="75" t="s">
        <v>383</v>
      </c>
      <c r="C33" s="75"/>
      <c r="D33" s="76">
        <v>1500000</v>
      </c>
      <c r="E33" s="85"/>
      <c r="F33" s="89"/>
      <c r="G33" s="76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74" t="s">
        <v>110</v>
      </c>
      <c r="B34" s="75" t="s">
        <v>384</v>
      </c>
      <c r="C34" s="75"/>
      <c r="D34" s="76">
        <v>463300</v>
      </c>
      <c r="E34" s="85"/>
      <c r="F34" s="89"/>
      <c r="G34" s="76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74" t="s">
        <v>109</v>
      </c>
      <c r="B35" s="75" t="s">
        <v>385</v>
      </c>
      <c r="C35" s="75"/>
      <c r="D35" s="76">
        <v>250900</v>
      </c>
      <c r="E35" s="85"/>
      <c r="F35" s="89"/>
      <c r="G35" s="76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74" t="s">
        <v>113</v>
      </c>
      <c r="B36" s="75" t="s">
        <v>386</v>
      </c>
      <c r="C36" s="75"/>
      <c r="D36" s="76">
        <v>350000</v>
      </c>
      <c r="E36" s="85"/>
      <c r="F36" s="89"/>
      <c r="G36" s="76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74" t="s">
        <v>112</v>
      </c>
      <c r="B37" s="75" t="s">
        <v>387</v>
      </c>
      <c r="C37" s="75"/>
      <c r="D37" s="76">
        <v>200000</v>
      </c>
      <c r="E37" s="85"/>
      <c r="F37" s="89"/>
      <c r="G37" s="76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74" t="s">
        <v>112</v>
      </c>
      <c r="B38" s="75" t="s">
        <v>388</v>
      </c>
      <c r="C38" s="75"/>
      <c r="D38" s="76">
        <v>500000</v>
      </c>
      <c r="E38" s="85"/>
      <c r="F38" s="89"/>
      <c r="G38" s="76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74" t="s">
        <v>109</v>
      </c>
      <c r="B39" s="75" t="s">
        <v>389</v>
      </c>
      <c r="C39" s="75"/>
      <c r="D39" s="76">
        <v>800000</v>
      </c>
      <c r="E39" s="85"/>
      <c r="F39" s="89"/>
      <c r="G39" s="76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74" t="s">
        <v>109</v>
      </c>
      <c r="B40" s="75" t="s">
        <v>390</v>
      </c>
      <c r="C40" s="75"/>
      <c r="D40" s="76">
        <v>1800000</v>
      </c>
      <c r="E40" s="85">
        <v>1375000</v>
      </c>
      <c r="F40" s="89"/>
      <c r="G40" s="76">
        <v>1375000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74" t="s">
        <v>109</v>
      </c>
      <c r="B41" s="75" t="s">
        <v>391</v>
      </c>
      <c r="C41" s="75"/>
      <c r="D41" s="76">
        <v>80000</v>
      </c>
      <c r="E41" s="85"/>
      <c r="F41" s="89"/>
      <c r="G41" s="76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74" t="s">
        <v>113</v>
      </c>
      <c r="B42" s="75" t="s">
        <v>392</v>
      </c>
      <c r="C42" s="75"/>
      <c r="D42" s="76">
        <v>150000</v>
      </c>
      <c r="E42" s="85"/>
      <c r="F42" s="89"/>
      <c r="G42" s="76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74" t="s">
        <v>113</v>
      </c>
      <c r="B43" s="75" t="s">
        <v>393</v>
      </c>
      <c r="C43" s="75"/>
      <c r="D43" s="76">
        <v>200000</v>
      </c>
      <c r="E43" s="85"/>
      <c r="F43" s="89"/>
      <c r="G43" s="76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74" t="s">
        <v>109</v>
      </c>
      <c r="B44" s="75" t="s">
        <v>394</v>
      </c>
      <c r="C44" s="75"/>
      <c r="D44" s="76">
        <v>150000</v>
      </c>
      <c r="E44" s="85"/>
      <c r="F44" s="89"/>
      <c r="G44" s="76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74" t="s">
        <v>112</v>
      </c>
      <c r="B45" s="75" t="s">
        <v>395</v>
      </c>
      <c r="C45" s="75"/>
      <c r="D45" s="76">
        <v>120000</v>
      </c>
      <c r="E45" s="85"/>
      <c r="F45" s="89"/>
      <c r="G45" s="76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74" t="s">
        <v>110</v>
      </c>
      <c r="B46" s="75" t="s">
        <v>396</v>
      </c>
      <c r="C46" s="75"/>
      <c r="D46" s="76">
        <v>60000</v>
      </c>
      <c r="E46" s="85"/>
      <c r="F46" s="89"/>
      <c r="G46" s="76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74" t="s">
        <v>113</v>
      </c>
      <c r="B47" s="75" t="s">
        <v>397</v>
      </c>
      <c r="C47" s="75"/>
      <c r="D47" s="76">
        <v>300000</v>
      </c>
      <c r="E47" s="85"/>
      <c r="F47" s="89"/>
      <c r="G47" s="76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74" t="s">
        <v>113</v>
      </c>
      <c r="B48" s="75" t="s">
        <v>398</v>
      </c>
      <c r="C48" s="75"/>
      <c r="D48" s="76">
        <v>150000</v>
      </c>
      <c r="E48" s="85"/>
      <c r="F48" s="89"/>
      <c r="G48" s="76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74" t="s">
        <v>110</v>
      </c>
      <c r="B49" s="75" t="s">
        <v>399</v>
      </c>
      <c r="C49" s="75"/>
      <c r="D49" s="76">
        <v>120000</v>
      </c>
      <c r="E49" s="85"/>
      <c r="F49" s="89"/>
      <c r="G49" s="76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74" t="s">
        <v>110</v>
      </c>
      <c r="B50" s="75" t="s">
        <v>400</v>
      </c>
      <c r="C50" s="75"/>
      <c r="D50" s="76">
        <v>430000</v>
      </c>
      <c r="E50" s="85"/>
      <c r="F50" s="89"/>
      <c r="G50" s="76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>
      <c r="A51" s="74" t="s">
        <v>113</v>
      </c>
      <c r="B51" s="75" t="s">
        <v>401</v>
      </c>
      <c r="C51" s="75"/>
      <c r="D51" s="76">
        <v>693200</v>
      </c>
      <c r="E51" s="85"/>
      <c r="F51" s="89"/>
      <c r="G51" s="76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>
      <c r="A52" s="100" t="s">
        <v>109</v>
      </c>
      <c r="B52" s="75" t="s">
        <v>411</v>
      </c>
      <c r="C52" s="75"/>
      <c r="D52" s="76"/>
      <c r="E52" s="85"/>
      <c r="F52" s="89"/>
      <c r="G52" s="76">
        <v>127315.2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>
      <c r="A53" s="100" t="s">
        <v>111</v>
      </c>
      <c r="B53" s="75" t="s">
        <v>490</v>
      </c>
      <c r="C53" s="75"/>
      <c r="D53" s="76"/>
      <c r="E53" s="85"/>
      <c r="F53" s="89"/>
      <c r="G53" s="76">
        <v>79667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.75">
      <c r="A54" s="74" t="s">
        <v>113</v>
      </c>
      <c r="B54" s="75" t="s">
        <v>402</v>
      </c>
      <c r="C54" s="75"/>
      <c r="D54" s="76">
        <v>1357800</v>
      </c>
      <c r="E54" s="85"/>
      <c r="F54" s="89"/>
      <c r="G54" s="76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>
      <c r="A55" s="74" t="s">
        <v>113</v>
      </c>
      <c r="B55" s="75" t="s">
        <v>403</v>
      </c>
      <c r="C55" s="75"/>
      <c r="D55" s="76">
        <v>163400</v>
      </c>
      <c r="E55" s="85"/>
      <c r="F55" s="89"/>
      <c r="G55" s="76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>
      <c r="A56" s="74" t="s">
        <v>113</v>
      </c>
      <c r="B56" s="75" t="s">
        <v>404</v>
      </c>
      <c r="C56" s="75"/>
      <c r="D56" s="76">
        <v>126500</v>
      </c>
      <c r="E56" s="85"/>
      <c r="F56" s="89"/>
      <c r="G56" s="76">
        <v>75000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.75">
      <c r="A57" s="74" t="s">
        <v>112</v>
      </c>
      <c r="B57" s="75" t="s">
        <v>405</v>
      </c>
      <c r="C57" s="75"/>
      <c r="D57" s="76">
        <v>1250000</v>
      </c>
      <c r="E57" s="85">
        <v>675000</v>
      </c>
      <c r="F57" s="89"/>
      <c r="G57" s="76">
        <v>675000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.75">
      <c r="A58" s="53"/>
      <c r="B58" s="75"/>
      <c r="C58" s="53"/>
      <c r="D58" s="76"/>
      <c r="E58" s="85"/>
      <c r="F58" s="9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5.75">
      <c r="A59" s="53"/>
      <c r="B59" s="75"/>
      <c r="C59" s="53"/>
      <c r="D59" s="76"/>
      <c r="E59" s="53"/>
      <c r="F59" s="9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5">
      <c r="A60" s="53"/>
      <c r="B60" s="53"/>
      <c r="C60" s="53"/>
      <c r="D60" s="80">
        <f>SUM(D16:D58)</f>
        <v>19725060</v>
      </c>
      <c r="E60" s="80">
        <f>SUM(E16:E58)</f>
        <v>3050000</v>
      </c>
      <c r="F60" s="96">
        <f>SUM(F16:F58)</f>
        <v>0</v>
      </c>
      <c r="G60" s="80">
        <f>SUM(G16:G58)</f>
        <v>3599482.2</v>
      </c>
      <c r="H60" s="53"/>
      <c r="I60" s="101">
        <f>G60/E60</f>
        <v>1.1801580983606559</v>
      </c>
      <c r="J60" s="53"/>
      <c r="K60" s="53"/>
      <c r="L60" s="53"/>
      <c r="M60" s="53"/>
      <c r="N60" s="53"/>
      <c r="O60" s="53"/>
      <c r="P60" s="53"/>
      <c r="Q60" s="53"/>
    </row>
    <row r="61" spans="1:17" ht="15.75">
      <c r="A61" s="53"/>
      <c r="B61" s="53"/>
      <c r="C61" s="53"/>
      <c r="D61" s="80"/>
      <c r="E61" s="80"/>
      <c r="F61" s="90"/>
      <c r="G61" s="8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.75">
      <c r="A62" s="53"/>
      <c r="B62" s="53"/>
      <c r="C62" s="53"/>
      <c r="D62" s="83"/>
      <c r="E62" s="54"/>
      <c r="F62" s="92"/>
      <c r="G62" s="76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4:17" s="20" customFormat="1" ht="13.5" customHeight="1">
      <c r="D63" s="84">
        <f>D12-D60</f>
        <v>-12404641.45785715</v>
      </c>
      <c r="E63" s="84">
        <f>D12-E60</f>
        <v>4270418.54214285</v>
      </c>
      <c r="F63" s="97">
        <f>D12-F60</f>
        <v>7320418.54214285</v>
      </c>
      <c r="G63" s="84">
        <f>D12-G60</f>
        <v>3720936.34214285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sheetProtection/>
  <mergeCells count="5">
    <mergeCell ref="Q12:Q13"/>
    <mergeCell ref="D14:E14"/>
    <mergeCell ref="I12:I13"/>
    <mergeCell ref="J12:J13"/>
    <mergeCell ref="K12:P12"/>
  </mergeCells>
  <conditionalFormatting sqref="L14">
    <cfRule type="cellIs" priority="15" dxfId="0" operator="greaterThan" stopIfTrue="1">
      <formula>$Q$14</formula>
    </cfRule>
  </conditionalFormatting>
  <conditionalFormatting sqref="L15">
    <cfRule type="cellIs" priority="14" dxfId="0" operator="greaterThan" stopIfTrue="1">
      <formula>$Q$15</formula>
    </cfRule>
  </conditionalFormatting>
  <conditionalFormatting sqref="L16">
    <cfRule type="cellIs" priority="13" dxfId="0" operator="greaterThan" stopIfTrue="1">
      <formula>$Q$16</formula>
    </cfRule>
  </conditionalFormatting>
  <conditionalFormatting sqref="L17">
    <cfRule type="cellIs" priority="12" dxfId="0" operator="greaterThan" stopIfTrue="1">
      <formula>$Q$17</formula>
    </cfRule>
  </conditionalFormatting>
  <conditionalFormatting sqref="L18">
    <cfRule type="cellIs" priority="11" dxfId="0" operator="greaterThan" stopIfTrue="1">
      <formula>$Q$18</formula>
    </cfRule>
  </conditionalFormatting>
  <conditionalFormatting sqref="N14">
    <cfRule type="cellIs" priority="10" dxfId="0" operator="greaterThan" stopIfTrue="1">
      <formula>$Q$14</formula>
    </cfRule>
  </conditionalFormatting>
  <conditionalFormatting sqref="N15">
    <cfRule type="cellIs" priority="9" dxfId="0" operator="greaterThan" stopIfTrue="1">
      <formula>$Q$15</formula>
    </cfRule>
  </conditionalFormatting>
  <conditionalFormatting sqref="N16">
    <cfRule type="cellIs" priority="8" dxfId="0" operator="greaterThan" stopIfTrue="1">
      <formula>$Q$16</formula>
    </cfRule>
  </conditionalFormatting>
  <conditionalFormatting sqref="N17">
    <cfRule type="cellIs" priority="7" dxfId="0" operator="greaterThan" stopIfTrue="1">
      <formula>$Q$17</formula>
    </cfRule>
  </conditionalFormatting>
  <conditionalFormatting sqref="N18">
    <cfRule type="cellIs" priority="6" dxfId="0" operator="greaterThan" stopIfTrue="1">
      <formula>$Q$18</formula>
    </cfRule>
  </conditionalFormatting>
  <conditionalFormatting sqref="P14">
    <cfRule type="cellIs" priority="5" dxfId="0" operator="greaterThan" stopIfTrue="1">
      <formula>$Q$14</formula>
    </cfRule>
  </conditionalFormatting>
  <conditionalFormatting sqref="P15">
    <cfRule type="cellIs" priority="4" dxfId="0" operator="greaterThan" stopIfTrue="1">
      <formula>$Q$15</formula>
    </cfRule>
  </conditionalFormatting>
  <conditionalFormatting sqref="P16">
    <cfRule type="cellIs" priority="3" dxfId="0" operator="greaterThan" stopIfTrue="1">
      <formula>$Q$16</formula>
    </cfRule>
  </conditionalFormatting>
  <conditionalFormatting sqref="P17">
    <cfRule type="cellIs" priority="2" dxfId="0" operator="greaterThan" stopIfTrue="1">
      <formula>$Q$17</formula>
    </cfRule>
  </conditionalFormatting>
  <conditionalFormatting sqref="P18">
    <cfRule type="cellIs" priority="1" dxfId="0" operator="greaterThan" stopIfTrue="1">
      <formula>$Q$18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4.7109375" style="95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412</v>
      </c>
    </row>
    <row r="3" ht="15">
      <c r="B3" s="20" t="s">
        <v>449</v>
      </c>
    </row>
    <row r="4" ht="15">
      <c r="B4" s="20"/>
    </row>
    <row r="5" spans="1:17" ht="15">
      <c r="A5" s="53"/>
      <c r="B5" s="54" t="s">
        <v>26</v>
      </c>
      <c r="C5" s="54"/>
      <c r="D5" s="55">
        <f>D7*D8</f>
        <v>5430600</v>
      </c>
      <c r="E5" s="55"/>
      <c r="F5" s="9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">
      <c r="A6" s="53"/>
      <c r="B6" s="56" t="s">
        <v>55</v>
      </c>
      <c r="C6" s="57" t="s">
        <v>129</v>
      </c>
      <c r="D6" s="58">
        <v>2185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3"/>
      <c r="C7" s="57" t="s">
        <v>128</v>
      </c>
      <c r="D7" s="58">
        <v>2155</v>
      </c>
      <c r="E7" s="5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6" t="s">
        <v>56</v>
      </c>
      <c r="C8" s="54"/>
      <c r="D8" s="58">
        <v>2520</v>
      </c>
      <c r="E8" s="58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4" t="s">
        <v>27</v>
      </c>
      <c r="C9" s="54"/>
      <c r="D9" s="55">
        <f>-(D5-(D5/1.12))</f>
        <v>-581850</v>
      </c>
      <c r="E9" s="55">
        <f>D5+D9</f>
        <v>4848750</v>
      </c>
      <c r="F9" s="9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346</v>
      </c>
      <c r="C10" s="54"/>
      <c r="D10" s="55">
        <v>0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30</v>
      </c>
      <c r="C11" s="54"/>
      <c r="D11" s="60">
        <f>'FALL 2014'!G63</f>
        <v>3720936.34214285</v>
      </c>
      <c r="E11" s="55"/>
      <c r="F11" s="9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75">
      <c r="A12" s="53"/>
      <c r="B12" s="61" t="s">
        <v>29</v>
      </c>
      <c r="C12" s="62"/>
      <c r="D12" s="63">
        <f>SUM(D5,D9:D11)</f>
        <v>8569686.34214285</v>
      </c>
      <c r="E12" s="64"/>
      <c r="F12" s="92"/>
      <c r="G12" s="53"/>
      <c r="H12" s="53"/>
      <c r="I12" s="119" t="s">
        <v>119</v>
      </c>
      <c r="J12" s="119" t="s">
        <v>120</v>
      </c>
      <c r="K12" s="121" t="s">
        <v>123</v>
      </c>
      <c r="L12" s="121"/>
      <c r="M12" s="121"/>
      <c r="N12" s="121"/>
      <c r="O12" s="121"/>
      <c r="P12" s="121"/>
      <c r="Q12" s="119" t="s">
        <v>126</v>
      </c>
    </row>
    <row r="13" spans="1:17" ht="15.75">
      <c r="A13" s="53"/>
      <c r="B13" s="61"/>
      <c r="C13" s="61"/>
      <c r="D13" s="65"/>
      <c r="E13" s="66"/>
      <c r="F13" s="92"/>
      <c r="G13" s="67"/>
      <c r="H13" s="67"/>
      <c r="I13" s="119"/>
      <c r="J13" s="119"/>
      <c r="K13" s="68" t="s">
        <v>274</v>
      </c>
      <c r="L13" s="53"/>
      <c r="M13" s="68" t="s">
        <v>152</v>
      </c>
      <c r="N13" s="53"/>
      <c r="O13" s="68" t="s">
        <v>122</v>
      </c>
      <c r="P13" s="53"/>
      <c r="Q13" s="119"/>
    </row>
    <row r="14" spans="1:18" ht="15.75">
      <c r="A14" s="53"/>
      <c r="B14" s="61"/>
      <c r="C14" s="61"/>
      <c r="D14" s="120" t="s">
        <v>127</v>
      </c>
      <c r="E14" s="120"/>
      <c r="F14" s="87"/>
      <c r="G14" s="69"/>
      <c r="H14" s="70" t="s">
        <v>112</v>
      </c>
      <c r="I14" s="56" t="s">
        <v>115</v>
      </c>
      <c r="J14" s="53">
        <f>COUNTIF(A16:A53,"S")</f>
        <v>5</v>
      </c>
      <c r="K14" s="58">
        <f>SUMIF($A$16:$A$53,"S",$D$16:$D$53)</f>
        <v>2598000</v>
      </c>
      <c r="L14" s="30">
        <f>K14/$K$19</f>
        <v>0.18019230222368954</v>
      </c>
      <c r="M14" s="58">
        <f>SUMIF($A$16:$A$53,"S",$F$16:$F$53)</f>
        <v>1698750</v>
      </c>
      <c r="N14" s="30">
        <f>M14/$M$19</f>
        <v>0.21419790057686852</v>
      </c>
      <c r="O14" s="58">
        <f>SUMIF($A$16:$A$53,"S",$G$16:$G$53)</f>
        <v>1478270</v>
      </c>
      <c r="P14" s="30">
        <f>O14/$O$19</f>
        <v>0.20899691991413114</v>
      </c>
      <c r="Q14" s="72">
        <v>0.3</v>
      </c>
      <c r="R14" s="52">
        <f>Q14-P14</f>
        <v>0.09100308008586885</v>
      </c>
    </row>
    <row r="15" spans="1:18" ht="25.5">
      <c r="A15" s="53"/>
      <c r="B15" s="61" t="s">
        <v>24</v>
      </c>
      <c r="C15" s="61"/>
      <c r="D15" s="73" t="s">
        <v>274</v>
      </c>
      <c r="E15" s="98" t="s">
        <v>350</v>
      </c>
      <c r="F15" s="88" t="s">
        <v>275</v>
      </c>
      <c r="G15" s="73" t="s">
        <v>122</v>
      </c>
      <c r="H15" s="70" t="s">
        <v>110</v>
      </c>
      <c r="I15" s="56" t="s">
        <v>116</v>
      </c>
      <c r="J15" s="53">
        <f>COUNTIF($A$16:$A$53,"I")</f>
        <v>9</v>
      </c>
      <c r="K15" s="58">
        <f>SUMIF($A$16:$A$53,"I",$D$16:$D$53)</f>
        <v>2600380</v>
      </c>
      <c r="L15" s="71">
        <f>K15/$K$19</f>
        <v>0.18035737446360192</v>
      </c>
      <c r="M15" s="58">
        <f>SUMIF($A$16:$A$53,"I",$F$16:$F$53)</f>
        <v>1123000</v>
      </c>
      <c r="N15" s="71">
        <f>M15/$M$19</f>
        <v>0.14160073133058035</v>
      </c>
      <c r="O15" s="58">
        <f>SUMIF($A$16:$A$53,"I",$G$16:$G$53)</f>
        <v>863768</v>
      </c>
      <c r="P15" s="71">
        <f>O15/$O$19</f>
        <v>0.12211899823468597</v>
      </c>
      <c r="Q15" s="72">
        <v>0.1</v>
      </c>
      <c r="R15" s="52">
        <f>Q15-P15</f>
        <v>-0.022118998234685966</v>
      </c>
    </row>
    <row r="16" spans="1:18" ht="15">
      <c r="A16" s="74" t="s">
        <v>109</v>
      </c>
      <c r="B16" s="54" t="s">
        <v>414</v>
      </c>
      <c r="C16" s="61"/>
      <c r="D16" s="82">
        <v>185000</v>
      </c>
      <c r="E16" s="81"/>
      <c r="F16" s="76">
        <v>25000</v>
      </c>
      <c r="G16" s="104">
        <v>25000</v>
      </c>
      <c r="H16" s="70" t="s">
        <v>109</v>
      </c>
      <c r="I16" s="56" t="s">
        <v>117</v>
      </c>
      <c r="J16" s="53">
        <f>COUNTIF(A16:A53,"E")</f>
        <v>7</v>
      </c>
      <c r="K16" s="58">
        <f>SUMIF($A$16:$A$53,"E",$D$16:$D$53)</f>
        <v>3487650</v>
      </c>
      <c r="L16" s="71">
        <f>K16/$K$19</f>
        <v>0.2418967216514437</v>
      </c>
      <c r="M16" s="58">
        <f>SUMIF($A$16:$A$53,"E",$F$16:$F$53)</f>
        <v>1246000</v>
      </c>
      <c r="N16" s="71">
        <f>M16/$M$19</f>
        <v>0.15710998329287898</v>
      </c>
      <c r="O16" s="58">
        <f>SUMIF($A$16:$A$53,"E",$G$16:$G$53)</f>
        <v>1235452</v>
      </c>
      <c r="P16" s="71">
        <f>O16/$O$19</f>
        <v>0.17466745770512365</v>
      </c>
      <c r="Q16" s="72">
        <v>0.3</v>
      </c>
      <c r="R16" s="52">
        <f>Q16-P16</f>
        <v>0.12533254229487634</v>
      </c>
    </row>
    <row r="17" spans="1:18" ht="15.75">
      <c r="A17" s="74" t="s">
        <v>109</v>
      </c>
      <c r="B17" s="54" t="s">
        <v>415</v>
      </c>
      <c r="C17" s="75"/>
      <c r="D17" s="76">
        <v>150000</v>
      </c>
      <c r="E17" s="85"/>
      <c r="F17" s="76">
        <v>35000</v>
      </c>
      <c r="G17" s="104">
        <v>45500</v>
      </c>
      <c r="H17" s="70" t="s">
        <v>111</v>
      </c>
      <c r="I17" s="56" t="s">
        <v>118</v>
      </c>
      <c r="J17" s="53">
        <f>COUNTIF(A16:A57,"C")</f>
        <v>15</v>
      </c>
      <c r="K17" s="58">
        <f>SUMIF($A$16:$A$53,"C",$D$16:$D$53)</f>
        <v>5201900</v>
      </c>
      <c r="L17" s="71">
        <f>K17/$K$19</f>
        <v>0.3607938171429602</v>
      </c>
      <c r="M17" s="58">
        <f>SUMIF($A$16:$A$53,"C",$F$16:$F$53)</f>
        <v>3333000</v>
      </c>
      <c r="N17" s="71">
        <f>M17/$M$19</f>
        <v>0.42026290073448286</v>
      </c>
      <c r="O17" s="58">
        <f>SUMIF($A$16:$A$53,"C",$G$16:$G$53)</f>
        <v>3395676.44</v>
      </c>
      <c r="P17" s="71">
        <f>O17/$O$19</f>
        <v>0.4800786845332598</v>
      </c>
      <c r="Q17" s="72">
        <v>0.3</v>
      </c>
      <c r="R17" s="52">
        <f>Q17-P17</f>
        <v>-0.18007868453325981</v>
      </c>
    </row>
    <row r="18" spans="1:18" ht="15.75">
      <c r="A18" s="74" t="s">
        <v>111</v>
      </c>
      <c r="B18" s="54" t="s">
        <v>416</v>
      </c>
      <c r="C18" s="75"/>
      <c r="D18" s="76">
        <v>883000</v>
      </c>
      <c r="E18" s="85"/>
      <c r="F18" s="76">
        <v>540000</v>
      </c>
      <c r="G18" s="104">
        <v>540000</v>
      </c>
      <c r="H18" s="70" t="s">
        <v>113</v>
      </c>
      <c r="I18" s="56" t="s">
        <v>125</v>
      </c>
      <c r="J18" s="53">
        <f>COUNTIF(A16:A53,"M")</f>
        <v>2</v>
      </c>
      <c r="K18" s="58">
        <f>SUMIF($A$16:$A$53,"M",$D$16:$D$53)</f>
        <v>530000</v>
      </c>
      <c r="L18" s="71">
        <f>K18/$K$19</f>
        <v>0.03675978451830464</v>
      </c>
      <c r="M18" s="58">
        <f>SUMIF($A$16:$A$53,"M",$F$16:$F$53)</f>
        <v>530000</v>
      </c>
      <c r="N18" s="71">
        <f>M18/$M$19</f>
        <v>0.06682848406518929</v>
      </c>
      <c r="O18" s="58">
        <f>SUMIF($A$16:$A$53,"M",$G$16:$G$53)</f>
        <v>100000</v>
      </c>
      <c r="P18" s="71">
        <f>O18/$O$19</f>
        <v>0.014137939612799499</v>
      </c>
      <c r="Q18" s="72">
        <v>0</v>
      </c>
      <c r="R18" s="52">
        <f>Q18-P18</f>
        <v>-0.014137939612799499</v>
      </c>
    </row>
    <row r="19" spans="1:17" ht="15.75">
      <c r="A19" s="74" t="s">
        <v>109</v>
      </c>
      <c r="B19" s="54" t="s">
        <v>417</v>
      </c>
      <c r="C19" s="75"/>
      <c r="D19" s="76">
        <v>800000</v>
      </c>
      <c r="E19" s="85"/>
      <c r="F19" s="76">
        <v>0</v>
      </c>
      <c r="G19" s="104"/>
      <c r="H19" s="53"/>
      <c r="I19" s="77" t="s">
        <v>124</v>
      </c>
      <c r="J19" s="78">
        <f>SUM(J14:J18)</f>
        <v>38</v>
      </c>
      <c r="K19" s="78">
        <f>SUM(K14:K18)</f>
        <v>14417930</v>
      </c>
      <c r="L19" s="78"/>
      <c r="M19" s="78">
        <f>SUM(M14:M18)</f>
        <v>7930750</v>
      </c>
      <c r="N19" s="78"/>
      <c r="O19" s="78">
        <f>SUM(O14:O18)</f>
        <v>7073166.4399999995</v>
      </c>
      <c r="P19" s="53"/>
      <c r="Q19" s="72"/>
    </row>
    <row r="20" spans="1:17" ht="15.75">
      <c r="A20" s="74" t="s">
        <v>111</v>
      </c>
      <c r="B20" s="54" t="s">
        <v>284</v>
      </c>
      <c r="C20" s="75"/>
      <c r="D20" s="76">
        <v>953900</v>
      </c>
      <c r="E20" s="85"/>
      <c r="F20" s="76">
        <v>800000</v>
      </c>
      <c r="G20" s="104">
        <v>920000</v>
      </c>
      <c r="H20" s="53"/>
      <c r="I20" s="77"/>
      <c r="J20" s="78"/>
      <c r="K20" s="78"/>
      <c r="L20" s="78"/>
      <c r="M20" s="78"/>
      <c r="N20" s="78"/>
      <c r="O20" s="78"/>
      <c r="P20" s="53"/>
      <c r="Q20" s="72"/>
    </row>
    <row r="21" spans="1:17" ht="15.75">
      <c r="A21" s="74" t="s">
        <v>111</v>
      </c>
      <c r="B21" s="54" t="s">
        <v>418</v>
      </c>
      <c r="C21" s="75"/>
      <c r="D21" s="76">
        <v>115000</v>
      </c>
      <c r="E21" s="85"/>
      <c r="F21" s="76">
        <v>45000</v>
      </c>
      <c r="G21" s="104">
        <v>20000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5.75">
      <c r="A22" s="74" t="s">
        <v>111</v>
      </c>
      <c r="B22" s="54" t="s">
        <v>419</v>
      </c>
      <c r="C22" s="75"/>
      <c r="D22" s="76">
        <v>106000</v>
      </c>
      <c r="E22" s="85"/>
      <c r="F22" s="76">
        <v>0</v>
      </c>
      <c r="G22" s="104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109</v>
      </c>
      <c r="B23" s="54" t="s">
        <v>420</v>
      </c>
      <c r="C23" s="75"/>
      <c r="D23" s="76">
        <v>600000</v>
      </c>
      <c r="E23" s="85"/>
      <c r="F23" s="76">
        <v>400000</v>
      </c>
      <c r="G23" s="104">
        <v>382472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74" t="s">
        <v>110</v>
      </c>
      <c r="B24" s="54" t="s">
        <v>421</v>
      </c>
      <c r="C24" s="75"/>
      <c r="D24" s="76">
        <v>700000</v>
      </c>
      <c r="E24" s="85"/>
      <c r="F24" s="76">
        <v>350000</v>
      </c>
      <c r="G24" s="104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74" t="s">
        <v>110</v>
      </c>
      <c r="B25" s="54" t="s">
        <v>422</v>
      </c>
      <c r="C25" s="75"/>
      <c r="D25" s="76">
        <v>187710</v>
      </c>
      <c r="E25" s="85"/>
      <c r="F25" s="76">
        <v>138000</v>
      </c>
      <c r="G25" s="104">
        <v>130200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74" t="s">
        <v>109</v>
      </c>
      <c r="B26" s="54" t="s">
        <v>423</v>
      </c>
      <c r="C26" s="75"/>
      <c r="D26" s="76">
        <v>1482650</v>
      </c>
      <c r="E26" s="85"/>
      <c r="F26" s="76">
        <v>650000</v>
      </c>
      <c r="G26" s="104">
        <v>652480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74" t="s">
        <v>111</v>
      </c>
      <c r="B27" s="54" t="s">
        <v>424</v>
      </c>
      <c r="C27" s="75"/>
      <c r="D27" s="76">
        <v>28000</v>
      </c>
      <c r="E27" s="85"/>
      <c r="F27" s="76">
        <v>28000</v>
      </c>
      <c r="G27" s="104">
        <v>26760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74" t="s">
        <v>110</v>
      </c>
      <c r="B28" s="54" t="s">
        <v>425</v>
      </c>
      <c r="C28" s="75"/>
      <c r="D28" s="76">
        <v>395000</v>
      </c>
      <c r="E28" s="85"/>
      <c r="F28" s="76">
        <v>125000</v>
      </c>
      <c r="G28" s="104">
        <v>6260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74" t="s">
        <v>111</v>
      </c>
      <c r="B29" s="54" t="s">
        <v>426</v>
      </c>
      <c r="C29" s="75"/>
      <c r="D29" s="76">
        <v>200000</v>
      </c>
      <c r="E29" s="85"/>
      <c r="F29" s="76">
        <v>200000</v>
      </c>
      <c r="G29" s="104">
        <v>180870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74" t="s">
        <v>112</v>
      </c>
      <c r="B30" s="54" t="s">
        <v>427</v>
      </c>
      <c r="C30" s="75"/>
      <c r="D30" s="76">
        <v>1958000</v>
      </c>
      <c r="E30" s="85"/>
      <c r="F30" s="76">
        <v>1223750</v>
      </c>
      <c r="G30" s="104">
        <v>1223750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74" t="s">
        <v>112</v>
      </c>
      <c r="B31" s="54" t="s">
        <v>428</v>
      </c>
      <c r="C31" s="75"/>
      <c r="D31" s="76">
        <v>235000</v>
      </c>
      <c r="E31" s="85"/>
      <c r="F31" s="76">
        <v>120000</v>
      </c>
      <c r="G31" s="104">
        <f>20520+99000</f>
        <v>119520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74" t="s">
        <v>111</v>
      </c>
      <c r="B32" s="54" t="s">
        <v>429</v>
      </c>
      <c r="C32" s="75"/>
      <c r="D32" s="76">
        <v>279000</v>
      </c>
      <c r="E32" s="85"/>
      <c r="F32" s="76">
        <v>0</v>
      </c>
      <c r="G32" s="104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74" t="s">
        <v>111</v>
      </c>
      <c r="B33" s="54" t="s">
        <v>430</v>
      </c>
      <c r="C33" s="75"/>
      <c r="D33" s="76">
        <v>930000</v>
      </c>
      <c r="E33" s="85"/>
      <c r="F33" s="76">
        <v>425000</v>
      </c>
      <c r="G33" s="104">
        <v>351800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74" t="s">
        <v>111</v>
      </c>
      <c r="B34" s="54" t="s">
        <v>431</v>
      </c>
      <c r="C34" s="75"/>
      <c r="D34" s="76">
        <v>290000</v>
      </c>
      <c r="E34" s="85"/>
      <c r="F34" s="76">
        <v>0</v>
      </c>
      <c r="G34" s="104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74" t="s">
        <v>111</v>
      </c>
      <c r="B35" s="54" t="s">
        <v>432</v>
      </c>
      <c r="C35" s="75"/>
      <c r="D35" s="76">
        <v>472000</v>
      </c>
      <c r="E35" s="85"/>
      <c r="F35" s="76">
        <v>350000</v>
      </c>
      <c r="G35" s="104">
        <f>239891+50000</f>
        <v>289891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74" t="s">
        <v>110</v>
      </c>
      <c r="B36" s="54" t="s">
        <v>433</v>
      </c>
      <c r="C36" s="75"/>
      <c r="D36" s="76">
        <v>430000</v>
      </c>
      <c r="E36" s="85"/>
      <c r="F36" s="76">
        <v>0</v>
      </c>
      <c r="G36" s="104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74" t="s">
        <v>112</v>
      </c>
      <c r="B37" s="54" t="s">
        <v>434</v>
      </c>
      <c r="C37" s="75"/>
      <c r="D37" s="76">
        <v>55000</v>
      </c>
      <c r="E37" s="85"/>
      <c r="F37" s="76">
        <v>55000</v>
      </c>
      <c r="G37" s="104">
        <v>55000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109</v>
      </c>
      <c r="B38" s="54" t="s">
        <v>435</v>
      </c>
      <c r="C38" s="75"/>
      <c r="D38" s="76">
        <v>270000</v>
      </c>
      <c r="E38" s="85"/>
      <c r="F38" s="76">
        <v>136000</v>
      </c>
      <c r="G38" s="104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74" t="s">
        <v>110</v>
      </c>
      <c r="B39" s="54" t="s">
        <v>436</v>
      </c>
      <c r="C39" s="75"/>
      <c r="D39" s="76">
        <v>160000</v>
      </c>
      <c r="E39" s="85"/>
      <c r="F39" s="76">
        <v>160000</v>
      </c>
      <c r="G39" s="104">
        <v>148903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74" t="s">
        <v>112</v>
      </c>
      <c r="B40" s="54" t="s">
        <v>437</v>
      </c>
      <c r="C40" s="75"/>
      <c r="D40" s="76">
        <v>350000</v>
      </c>
      <c r="E40" s="85"/>
      <c r="F40" s="76">
        <v>300000</v>
      </c>
      <c r="G40" s="104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74" t="s">
        <v>113</v>
      </c>
      <c r="B41" s="54" t="s">
        <v>438</v>
      </c>
      <c r="C41" s="75"/>
      <c r="D41" s="76">
        <v>430000</v>
      </c>
      <c r="E41" s="85"/>
      <c r="F41" s="76">
        <v>430000</v>
      </c>
      <c r="G41" s="104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110</v>
      </c>
      <c r="B42" s="106" t="s">
        <v>443</v>
      </c>
      <c r="C42" s="75"/>
      <c r="D42" s="76">
        <v>0</v>
      </c>
      <c r="E42" s="85"/>
      <c r="F42" s="76">
        <v>0</v>
      </c>
      <c r="G42" s="104">
        <v>81337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110</v>
      </c>
      <c r="B43" s="106" t="s">
        <v>444</v>
      </c>
      <c r="C43" s="75"/>
      <c r="D43" s="76">
        <v>0</v>
      </c>
      <c r="E43" s="85"/>
      <c r="F43" s="76">
        <v>0</v>
      </c>
      <c r="G43" s="104">
        <v>134568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100" t="s">
        <v>109</v>
      </c>
      <c r="B44" s="106" t="s">
        <v>445</v>
      </c>
      <c r="C44" s="75"/>
      <c r="D44" s="76">
        <v>0</v>
      </c>
      <c r="E44" s="85"/>
      <c r="F44" s="76">
        <v>0</v>
      </c>
      <c r="G44" s="104">
        <v>130000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 t="s">
        <v>111</v>
      </c>
      <c r="B45" s="106" t="s">
        <v>482</v>
      </c>
      <c r="C45" s="75"/>
      <c r="D45" s="76">
        <v>0</v>
      </c>
      <c r="E45" s="85"/>
      <c r="F45" s="76">
        <v>0</v>
      </c>
      <c r="G45" s="104">
        <v>120000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100" t="s">
        <v>112</v>
      </c>
      <c r="B46" s="106" t="s">
        <v>446</v>
      </c>
      <c r="C46" s="75"/>
      <c r="D46" s="76">
        <v>0</v>
      </c>
      <c r="E46" s="85"/>
      <c r="F46" s="76">
        <v>0</v>
      </c>
      <c r="G46" s="104">
        <v>80000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100" t="s">
        <v>111</v>
      </c>
      <c r="B47" s="106" t="s">
        <v>481</v>
      </c>
      <c r="C47" s="75"/>
      <c r="D47" s="76">
        <v>0</v>
      </c>
      <c r="E47" s="85"/>
      <c r="F47" s="76">
        <v>0</v>
      </c>
      <c r="G47" s="104">
        <v>74399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100" t="s">
        <v>110</v>
      </c>
      <c r="B48" s="106" t="s">
        <v>480</v>
      </c>
      <c r="C48" s="75"/>
      <c r="D48" s="76">
        <v>0</v>
      </c>
      <c r="E48" s="85"/>
      <c r="F48" s="76">
        <v>0</v>
      </c>
      <c r="G48" s="104">
        <v>15000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100" t="s">
        <v>111</v>
      </c>
      <c r="B49" s="106" t="s">
        <v>447</v>
      </c>
      <c r="C49" s="75"/>
      <c r="D49" s="76">
        <v>0</v>
      </c>
      <c r="E49" s="85"/>
      <c r="F49" s="76">
        <v>0</v>
      </c>
      <c r="G49" s="104">
        <v>32512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74" t="s">
        <v>110</v>
      </c>
      <c r="B50" s="54" t="s">
        <v>439</v>
      </c>
      <c r="C50" s="75"/>
      <c r="D50" s="76">
        <v>727670</v>
      </c>
      <c r="E50" s="85"/>
      <c r="F50" s="76">
        <v>350000</v>
      </c>
      <c r="G50" s="104">
        <v>347500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>
      <c r="A51" s="74" t="s">
        <v>111</v>
      </c>
      <c r="B51" s="54" t="s">
        <v>440</v>
      </c>
      <c r="C51" s="75"/>
      <c r="D51" s="76">
        <v>350000</v>
      </c>
      <c r="E51" s="85"/>
      <c r="F51" s="76">
        <v>350000</v>
      </c>
      <c r="G51" s="104">
        <v>244444.44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>
      <c r="A52" s="74" t="s">
        <v>113</v>
      </c>
      <c r="B52" s="54" t="s">
        <v>441</v>
      </c>
      <c r="C52" s="75"/>
      <c r="D52" s="76">
        <v>100000</v>
      </c>
      <c r="E52" s="85"/>
      <c r="F52" s="76">
        <v>100000</v>
      </c>
      <c r="G52" s="104">
        <v>100000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>
      <c r="A53" s="74" t="s">
        <v>111</v>
      </c>
      <c r="B53" s="54" t="s">
        <v>442</v>
      </c>
      <c r="C53" s="75"/>
      <c r="D53" s="76">
        <v>595000</v>
      </c>
      <c r="E53" s="85"/>
      <c r="F53" s="76">
        <v>595000</v>
      </c>
      <c r="G53" s="104">
        <v>595000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.75">
      <c r="A54" s="53"/>
      <c r="B54" s="75"/>
      <c r="C54" s="53"/>
      <c r="D54" s="76"/>
      <c r="E54" s="53"/>
      <c r="F54" s="9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">
      <c r="A55" s="53"/>
      <c r="B55" s="53"/>
      <c r="C55" s="53"/>
      <c r="D55" s="80">
        <f>SUM(D16:D53)</f>
        <v>14417930</v>
      </c>
      <c r="E55" s="80">
        <f>SUM(E16:E53)</f>
        <v>0</v>
      </c>
      <c r="F55" s="96">
        <f>SUM(F16:F53)</f>
        <v>7930750</v>
      </c>
      <c r="G55" s="80">
        <f>SUM(G16:G53)</f>
        <v>7073166.44</v>
      </c>
      <c r="H55" s="53"/>
      <c r="I55" s="101"/>
      <c r="J55" s="53"/>
      <c r="K55" s="53"/>
      <c r="L55" s="53"/>
      <c r="M55" s="53"/>
      <c r="N55" s="53"/>
      <c r="O55" s="53"/>
      <c r="P55" s="53"/>
      <c r="Q55" s="53"/>
    </row>
    <row r="56" spans="1:17" ht="15.75">
      <c r="A56" s="53"/>
      <c r="B56" s="53"/>
      <c r="C56" s="53"/>
      <c r="D56" s="80"/>
      <c r="E56" s="80"/>
      <c r="F56" s="90"/>
      <c r="G56" s="8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.75">
      <c r="A57" s="53"/>
      <c r="B57" s="53"/>
      <c r="C57" s="53"/>
      <c r="D57" s="83"/>
      <c r="E57" s="54"/>
      <c r="F57" s="92"/>
      <c r="G57" s="76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4:17" s="20" customFormat="1" ht="13.5" customHeight="1">
      <c r="D58" s="84">
        <f>D12-D55</f>
        <v>-5848243.65785715</v>
      </c>
      <c r="E58" s="84">
        <f>D12-E55</f>
        <v>8569686.34214285</v>
      </c>
      <c r="F58" s="97">
        <f>D12-F55</f>
        <v>638936.3421428502</v>
      </c>
      <c r="G58" s="84">
        <f>D12-G55</f>
        <v>1496519.9021428498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</row>
  </sheetData>
  <sheetProtection/>
  <mergeCells count="5">
    <mergeCell ref="Q12:Q13"/>
    <mergeCell ref="D14:E14"/>
    <mergeCell ref="I12:I13"/>
    <mergeCell ref="J12:J13"/>
    <mergeCell ref="K12:P12"/>
  </mergeCells>
  <conditionalFormatting sqref="L14">
    <cfRule type="cellIs" priority="15" dxfId="0" operator="greaterThan" stopIfTrue="1">
      <formula>$Q$14</formula>
    </cfRule>
  </conditionalFormatting>
  <conditionalFormatting sqref="L15">
    <cfRule type="cellIs" priority="14" dxfId="0" operator="greaterThan" stopIfTrue="1">
      <formula>$Q$15</formula>
    </cfRule>
  </conditionalFormatting>
  <conditionalFormatting sqref="L16">
    <cfRule type="cellIs" priority="13" dxfId="0" operator="greaterThan" stopIfTrue="1">
      <formula>$Q$16</formula>
    </cfRule>
  </conditionalFormatting>
  <conditionalFormatting sqref="L17">
    <cfRule type="cellIs" priority="12" dxfId="0" operator="greaterThan" stopIfTrue="1">
      <formula>$Q$17</formula>
    </cfRule>
  </conditionalFormatting>
  <conditionalFormatting sqref="L18">
    <cfRule type="cellIs" priority="11" dxfId="0" operator="greaterThan" stopIfTrue="1">
      <formula>$Q$18</formula>
    </cfRule>
  </conditionalFormatting>
  <conditionalFormatting sqref="N14">
    <cfRule type="cellIs" priority="10" dxfId="0" operator="greaterThan" stopIfTrue="1">
      <formula>$Q$14</formula>
    </cfRule>
  </conditionalFormatting>
  <conditionalFormatting sqref="N15">
    <cfRule type="cellIs" priority="9" dxfId="0" operator="greaterThan" stopIfTrue="1">
      <formula>$Q$15</formula>
    </cfRule>
  </conditionalFormatting>
  <conditionalFormatting sqref="N16">
    <cfRule type="cellIs" priority="8" dxfId="0" operator="greaterThan" stopIfTrue="1">
      <formula>$Q$16</formula>
    </cfRule>
  </conditionalFormatting>
  <conditionalFormatting sqref="N17">
    <cfRule type="cellIs" priority="7" dxfId="0" operator="greaterThan" stopIfTrue="1">
      <formula>$Q$17</formula>
    </cfRule>
  </conditionalFormatting>
  <conditionalFormatting sqref="N18">
    <cfRule type="cellIs" priority="6" dxfId="0" operator="greaterThan" stopIfTrue="1">
      <formula>$Q$18</formula>
    </cfRule>
  </conditionalFormatting>
  <conditionalFormatting sqref="P14">
    <cfRule type="cellIs" priority="5" dxfId="0" operator="greaterThan" stopIfTrue="1">
      <formula>$Q$14</formula>
    </cfRule>
  </conditionalFormatting>
  <conditionalFormatting sqref="P15">
    <cfRule type="cellIs" priority="4" dxfId="0" operator="greaterThan" stopIfTrue="1">
      <formula>$Q$15</formula>
    </cfRule>
  </conditionalFormatting>
  <conditionalFormatting sqref="P16">
    <cfRule type="cellIs" priority="3" dxfId="0" operator="greaterThan" stopIfTrue="1">
      <formula>$Q$16</formula>
    </cfRule>
  </conditionalFormatting>
  <conditionalFormatting sqref="P17">
    <cfRule type="cellIs" priority="2" dxfId="0" operator="greaterThan" stopIfTrue="1">
      <formula>$Q$17</formula>
    </cfRule>
  </conditionalFormatting>
  <conditionalFormatting sqref="P18">
    <cfRule type="cellIs" priority="1" dxfId="0" operator="greaterThan" stopIfTrue="1">
      <formula>$Q$18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4.7109375" style="95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448</v>
      </c>
    </row>
    <row r="3" ht="15">
      <c r="B3" s="20" t="s">
        <v>489</v>
      </c>
    </row>
    <row r="4" ht="15">
      <c r="B4" s="20" t="s">
        <v>486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5223960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2126</v>
      </c>
      <c r="E7" s="55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v>2073</v>
      </c>
      <c r="E8" s="59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2520</v>
      </c>
      <c r="E9" s="58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-559710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'SPRING 2015'!G58</f>
        <v>1496519.9021428498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6160769.90214285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152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COUNTIF(A17:A45,"S")</f>
        <v>5</v>
      </c>
      <c r="K15" s="58">
        <f>SUMIF($A$17:$A$45,"S",$D$17:$D$45)</f>
        <v>4753500</v>
      </c>
      <c r="L15" s="30">
        <f>K15/$K$20</f>
        <v>0.3405743444024473</v>
      </c>
      <c r="M15" s="58">
        <f>SUMIF($A$17:$A$45,"S",$F$17:$F$45)</f>
        <v>969100</v>
      </c>
      <c r="N15" s="30">
        <f>M15/$M$20</f>
        <v>0.20240179565543115</v>
      </c>
      <c r="O15" s="58">
        <f>SUMIF($A$17:$A$45,"S",$G$17:$G$45)</f>
        <v>936390.12</v>
      </c>
      <c r="P15" s="30">
        <f>O15/$O$20</f>
        <v>0.2657403834645246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COUNTIF($A$17:$A$45,"I")</f>
        <v>8</v>
      </c>
      <c r="K16" s="58">
        <f>SUMIF($A$17:$A$45,"I",$D$17:$D$45)</f>
        <v>1416700</v>
      </c>
      <c r="L16" s="71">
        <f>K16/$K$20</f>
        <v>0.10150240322182541</v>
      </c>
      <c r="M16" s="58">
        <f>SUMIF($A$17:$A$45,"I",$F$17:$F$45)</f>
        <v>499901</v>
      </c>
      <c r="N16" s="71">
        <f>M16/$M$20</f>
        <v>0.10440703750897296</v>
      </c>
      <c r="O16" s="58">
        <f>SUMIF($A$17:$A$45,"I",$G$17:$G$45)</f>
        <v>391155</v>
      </c>
      <c r="P16" s="71">
        <f>O16/$O$20</f>
        <v>0.1110068095272792</v>
      </c>
      <c r="Q16" s="72">
        <v>0.1</v>
      </c>
    </row>
    <row r="17" spans="1:17" ht="15">
      <c r="A17" s="100" t="s">
        <v>111</v>
      </c>
      <c r="B17" s="54" t="s">
        <v>450</v>
      </c>
      <c r="C17" s="61"/>
      <c r="D17" s="82">
        <v>1500000</v>
      </c>
      <c r="E17" s="81">
        <v>754000</v>
      </c>
      <c r="F17" s="76">
        <v>754000</v>
      </c>
      <c r="G17" s="104"/>
      <c r="H17" s="70" t="s">
        <v>109</v>
      </c>
      <c r="I17" s="56" t="s">
        <v>117</v>
      </c>
      <c r="J17" s="53">
        <f>COUNTIF(A17:A45,"E")</f>
        <v>7</v>
      </c>
      <c r="K17" s="58">
        <f>SUMIF($A$17:$A$45,"E",$D$17:$D$45)</f>
        <v>4995255</v>
      </c>
      <c r="L17" s="71">
        <f>K17/$K$20</f>
        <v>0.3578953816657299</v>
      </c>
      <c r="M17" s="58">
        <f>SUMIF($A$17:$A$45,"E",$F$17:$F$45)</f>
        <v>2054000</v>
      </c>
      <c r="N17" s="71">
        <f>M17/$M$20</f>
        <v>0.4289890499187448</v>
      </c>
      <c r="O17" s="58">
        <f>SUMIF($A$17:$A$45,"E",$G$17:$G$45)</f>
        <v>1991485.1600000001</v>
      </c>
      <c r="P17" s="71">
        <f>O17/$O$20</f>
        <v>0.5651683190359913</v>
      </c>
      <c r="Q17" s="72">
        <v>0.3</v>
      </c>
    </row>
    <row r="18" spans="1:17" ht="15.75">
      <c r="A18" s="100" t="s">
        <v>111</v>
      </c>
      <c r="B18" s="54" t="s">
        <v>451</v>
      </c>
      <c r="C18" s="75"/>
      <c r="D18" s="76">
        <v>177500</v>
      </c>
      <c r="E18" s="85">
        <v>40000</v>
      </c>
      <c r="F18" s="76">
        <v>40000</v>
      </c>
      <c r="G18" s="104">
        <v>3298.47</v>
      </c>
      <c r="H18" s="70" t="s">
        <v>111</v>
      </c>
      <c r="I18" s="56" t="s">
        <v>118</v>
      </c>
      <c r="J18" s="53">
        <f>COUNTIF(A17:A49,"C")</f>
        <v>8</v>
      </c>
      <c r="K18" s="58">
        <f>SUMIF($A$17:$A$45,"C",$D$17:$D$45)</f>
        <v>2525850</v>
      </c>
      <c r="L18" s="71">
        <f>K18/$K$20</f>
        <v>0.18096975024906312</v>
      </c>
      <c r="M18" s="58">
        <f>SUMIF($A$17:$A$45,"C",$F$17:$F$45)</f>
        <v>1265000</v>
      </c>
      <c r="N18" s="71">
        <f>M18/$M$20</f>
        <v>0.2642021169168511</v>
      </c>
      <c r="O18" s="58">
        <f>SUMIF($A$17:$A$45,"C",$G$17:$G$45)</f>
        <v>204672.47</v>
      </c>
      <c r="P18" s="71">
        <f>O18/$O$20</f>
        <v>0.0580844879722048</v>
      </c>
      <c r="Q18" s="72">
        <v>0.3</v>
      </c>
    </row>
    <row r="19" spans="1:17" ht="15.75">
      <c r="A19" s="100" t="s">
        <v>111</v>
      </c>
      <c r="B19" s="54" t="s">
        <v>452</v>
      </c>
      <c r="C19" s="75"/>
      <c r="D19" s="76">
        <v>338000</v>
      </c>
      <c r="E19" s="85">
        <v>200000</v>
      </c>
      <c r="F19" s="76">
        <v>186000</v>
      </c>
      <c r="G19" s="104"/>
      <c r="H19" s="70" t="s">
        <v>113</v>
      </c>
      <c r="I19" s="56" t="s">
        <v>125</v>
      </c>
      <c r="J19" s="53">
        <f>COUNTIF(A17:A45,"M")</f>
        <v>1</v>
      </c>
      <c r="K19" s="58">
        <f>SUMIF($A$17:$A$45,"M",$D$17:$D$45)</f>
        <v>266000</v>
      </c>
      <c r="L19" s="71">
        <f>K19/$K$20</f>
        <v>0.019058120460934257</v>
      </c>
      <c r="M19" s="58">
        <f>SUMIF($A$17:$A$45,"M",$F$17:$F$45)</f>
        <v>0</v>
      </c>
      <c r="N19" s="71">
        <f>M19/$M$20</f>
        <v>0</v>
      </c>
      <c r="O19" s="58">
        <f>SUMIF($A$17:$A$45,"M",$G$17:$G$45)</f>
        <v>0</v>
      </c>
      <c r="P19" s="71">
        <f>O19/$O$20</f>
        <v>0</v>
      </c>
      <c r="Q19" s="72">
        <v>0</v>
      </c>
    </row>
    <row r="20" spans="1:17" ht="15.75">
      <c r="A20" s="100" t="s">
        <v>111</v>
      </c>
      <c r="B20" s="54" t="s">
        <v>453</v>
      </c>
      <c r="C20" s="75"/>
      <c r="D20" s="76">
        <v>58000</v>
      </c>
      <c r="E20" s="85">
        <v>15000</v>
      </c>
      <c r="F20" s="76">
        <v>15000</v>
      </c>
      <c r="G20" s="104"/>
      <c r="H20" s="53"/>
      <c r="I20" s="77" t="s">
        <v>124</v>
      </c>
      <c r="J20" s="78">
        <f>SUM(J15:J19)</f>
        <v>29</v>
      </c>
      <c r="K20" s="78">
        <f>SUM(K15:K19)</f>
        <v>13957305</v>
      </c>
      <c r="L20" s="78"/>
      <c r="M20" s="78">
        <f>SUM(M15:M19)</f>
        <v>4788001</v>
      </c>
      <c r="N20" s="78"/>
      <c r="O20" s="78">
        <f>SUM(O15:O19)</f>
        <v>3523702.7500000005</v>
      </c>
      <c r="P20" s="53"/>
      <c r="Q20" s="72"/>
    </row>
    <row r="21" spans="1:17" ht="15.75">
      <c r="A21" s="100" t="s">
        <v>109</v>
      </c>
      <c r="B21" s="54" t="s">
        <v>454</v>
      </c>
      <c r="C21" s="75"/>
      <c r="D21" s="76">
        <v>363000</v>
      </c>
      <c r="E21" s="85">
        <v>300000</v>
      </c>
      <c r="F21" s="76">
        <v>363000</v>
      </c>
      <c r="G21" s="104">
        <v>335450</v>
      </c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109</v>
      </c>
      <c r="B22" s="54" t="s">
        <v>455</v>
      </c>
      <c r="C22" s="75"/>
      <c r="D22" s="76">
        <v>1261255</v>
      </c>
      <c r="E22" s="85">
        <v>610000</v>
      </c>
      <c r="F22" s="76">
        <v>610000</v>
      </c>
      <c r="G22" s="104">
        <v>609999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109</v>
      </c>
      <c r="B23" s="54" t="s">
        <v>456</v>
      </c>
      <c r="C23" s="75"/>
      <c r="D23" s="76">
        <v>35000</v>
      </c>
      <c r="E23" s="85">
        <v>25000</v>
      </c>
      <c r="F23" s="76">
        <v>25000</v>
      </c>
      <c r="G23" s="104">
        <v>14000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109</v>
      </c>
      <c r="B24" s="54" t="s">
        <v>457</v>
      </c>
      <c r="C24" s="75"/>
      <c r="D24" s="76">
        <v>35000</v>
      </c>
      <c r="E24" s="85">
        <v>25000</v>
      </c>
      <c r="F24" s="76">
        <v>40000</v>
      </c>
      <c r="G24" s="104">
        <v>40000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110</v>
      </c>
      <c r="B25" s="54" t="s">
        <v>458</v>
      </c>
      <c r="C25" s="75"/>
      <c r="D25" s="76">
        <v>243000</v>
      </c>
      <c r="E25" s="85">
        <v>200000</v>
      </c>
      <c r="F25" s="76">
        <v>200000</v>
      </c>
      <c r="G25" s="104">
        <v>199356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110</v>
      </c>
      <c r="B26" s="54" t="s">
        <v>459</v>
      </c>
      <c r="C26" s="75"/>
      <c r="D26" s="76">
        <v>201100</v>
      </c>
      <c r="E26" s="85">
        <v>101100</v>
      </c>
      <c r="F26" s="76">
        <v>26001</v>
      </c>
      <c r="G26" s="104">
        <v>26001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111</v>
      </c>
      <c r="B27" s="54" t="s">
        <v>460</v>
      </c>
      <c r="C27" s="75"/>
      <c r="D27" s="76">
        <v>175800</v>
      </c>
      <c r="E27" s="85">
        <v>0</v>
      </c>
      <c r="F27" s="76">
        <v>0</v>
      </c>
      <c r="G27" s="104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110</v>
      </c>
      <c r="B28" s="54" t="s">
        <v>461</v>
      </c>
      <c r="C28" s="75"/>
      <c r="D28" s="76">
        <v>104600</v>
      </c>
      <c r="E28" s="85">
        <v>84600</v>
      </c>
      <c r="F28" s="76">
        <v>84600</v>
      </c>
      <c r="G28" s="104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111</v>
      </c>
      <c r="B29" s="54" t="s">
        <v>462</v>
      </c>
      <c r="C29" s="75"/>
      <c r="D29" s="76">
        <v>233550</v>
      </c>
      <c r="E29" s="85">
        <v>150000</v>
      </c>
      <c r="F29" s="76">
        <v>150000</v>
      </c>
      <c r="G29" s="104">
        <v>138749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112</v>
      </c>
      <c r="B30" s="54" t="s">
        <v>463</v>
      </c>
      <c r="C30" s="75"/>
      <c r="D30" s="76">
        <v>133500</v>
      </c>
      <c r="E30" s="85">
        <v>77500</v>
      </c>
      <c r="F30" s="76">
        <v>69100</v>
      </c>
      <c r="G30" s="104">
        <v>69100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112</v>
      </c>
      <c r="B31" s="54" t="s">
        <v>464</v>
      </c>
      <c r="C31" s="75"/>
      <c r="D31" s="76">
        <v>2790000</v>
      </c>
      <c r="E31" s="85">
        <v>0</v>
      </c>
      <c r="F31" s="76">
        <v>0</v>
      </c>
      <c r="G31" s="104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112</v>
      </c>
      <c r="B32" s="54" t="s">
        <v>465</v>
      </c>
      <c r="C32" s="75"/>
      <c r="D32" s="76">
        <v>1200000</v>
      </c>
      <c r="E32" s="85">
        <v>900000</v>
      </c>
      <c r="F32" s="76">
        <v>900000</v>
      </c>
      <c r="G32" s="104">
        <f>294300+572990.12</f>
        <v>867290.12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110</v>
      </c>
      <c r="B33" s="54" t="s">
        <v>466</v>
      </c>
      <c r="C33" s="75"/>
      <c r="D33" s="76">
        <v>481000</v>
      </c>
      <c r="E33" s="85">
        <v>0</v>
      </c>
      <c r="F33" s="76">
        <v>115000</v>
      </c>
      <c r="G33" s="104">
        <v>115000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110</v>
      </c>
      <c r="B34" s="54" t="s">
        <v>467</v>
      </c>
      <c r="C34" s="75"/>
      <c r="D34" s="76">
        <v>28000</v>
      </c>
      <c r="E34" s="76">
        <v>28000</v>
      </c>
      <c r="F34" s="76">
        <v>28000</v>
      </c>
      <c r="G34" s="104">
        <v>4498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110</v>
      </c>
      <c r="B35" s="54" t="s">
        <v>468</v>
      </c>
      <c r="C35" s="75"/>
      <c r="D35" s="76">
        <v>299000</v>
      </c>
      <c r="E35" s="85">
        <v>100000</v>
      </c>
      <c r="F35" s="85">
        <v>0</v>
      </c>
      <c r="G35" s="104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109</v>
      </c>
      <c r="B36" s="54" t="s">
        <v>470</v>
      </c>
      <c r="C36" s="75"/>
      <c r="D36" s="76">
        <v>101000</v>
      </c>
      <c r="E36" s="85">
        <v>66000</v>
      </c>
      <c r="F36" s="85">
        <v>66000</v>
      </c>
      <c r="G36" s="104">
        <v>65880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110</v>
      </c>
      <c r="B37" s="54" t="s">
        <v>469</v>
      </c>
      <c r="C37" s="75"/>
      <c r="D37" s="76">
        <v>60000</v>
      </c>
      <c r="E37" s="85">
        <v>40000</v>
      </c>
      <c r="F37" s="85">
        <v>31300</v>
      </c>
      <c r="G37" s="104">
        <v>31300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113</v>
      </c>
      <c r="B38" s="54" t="s">
        <v>471</v>
      </c>
      <c r="C38" s="75"/>
      <c r="D38" s="76">
        <v>266000</v>
      </c>
      <c r="E38" s="85">
        <v>0</v>
      </c>
      <c r="F38" s="76">
        <v>0</v>
      </c>
      <c r="G38" s="104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112</v>
      </c>
      <c r="B39" s="54" t="s">
        <v>472</v>
      </c>
      <c r="C39" s="75"/>
      <c r="D39" s="76">
        <v>400000</v>
      </c>
      <c r="E39" s="85">
        <v>194000</v>
      </c>
      <c r="F39" s="85">
        <v>0</v>
      </c>
      <c r="G39" s="104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111</v>
      </c>
      <c r="B40" s="54" t="s">
        <v>473</v>
      </c>
      <c r="C40" s="75"/>
      <c r="D40" s="76">
        <v>43000</v>
      </c>
      <c r="E40" s="76">
        <v>43000</v>
      </c>
      <c r="F40" s="76">
        <v>43000</v>
      </c>
      <c r="G40" s="104">
        <v>2550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109</v>
      </c>
      <c r="B41" s="54" t="s">
        <v>474</v>
      </c>
      <c r="C41" s="75"/>
      <c r="D41" s="76">
        <v>1600000</v>
      </c>
      <c r="E41" s="85">
        <v>0</v>
      </c>
      <c r="F41" s="76">
        <v>0</v>
      </c>
      <c r="G41" s="104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111</v>
      </c>
      <c r="B42" s="54" t="s">
        <v>487</v>
      </c>
      <c r="C42" s="75"/>
      <c r="D42" s="76"/>
      <c r="E42" s="85"/>
      <c r="F42" s="76">
        <v>77000</v>
      </c>
      <c r="G42" s="104">
        <v>60075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110</v>
      </c>
      <c r="B43" s="54" t="s">
        <v>488</v>
      </c>
      <c r="C43" s="75"/>
      <c r="D43" s="76"/>
      <c r="E43" s="85"/>
      <c r="F43" s="76">
        <v>15000</v>
      </c>
      <c r="G43" s="104">
        <v>15000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100" t="s">
        <v>109</v>
      </c>
      <c r="B44" s="54" t="s">
        <v>475</v>
      </c>
      <c r="C44" s="75"/>
      <c r="D44" s="76">
        <v>1600000</v>
      </c>
      <c r="E44" s="85">
        <v>950000</v>
      </c>
      <c r="F44" s="85">
        <v>950000</v>
      </c>
      <c r="G44" s="104">
        <v>926156.16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 t="s">
        <v>112</v>
      </c>
      <c r="B45" s="107" t="s">
        <v>476</v>
      </c>
      <c r="C45" s="75"/>
      <c r="D45" s="76">
        <v>230000</v>
      </c>
      <c r="E45" s="85">
        <v>0</v>
      </c>
      <c r="F45" s="76">
        <v>0</v>
      </c>
      <c r="G45" s="104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53"/>
      <c r="B46" s="75"/>
      <c r="C46" s="53"/>
      <c r="D46" s="76"/>
      <c r="E46" s="53"/>
      <c r="F46" s="9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">
      <c r="A47" s="53"/>
      <c r="B47" s="53"/>
      <c r="C47" s="53"/>
      <c r="D47" s="80">
        <f>SUM(D17:D45)</f>
        <v>13957305</v>
      </c>
      <c r="E47" s="80">
        <f>SUM(E17:E45)</f>
        <v>4903200</v>
      </c>
      <c r="F47" s="96">
        <f>SUM(F17:F45)</f>
        <v>4788001</v>
      </c>
      <c r="G47" s="80">
        <f>SUM(G17:G45)</f>
        <v>3523702.75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53"/>
      <c r="B48" s="53"/>
      <c r="C48" s="53"/>
      <c r="D48" s="80"/>
      <c r="E48" s="80"/>
      <c r="F48" s="90"/>
      <c r="G48" s="80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53"/>
      <c r="B49" s="53"/>
      <c r="C49" s="53"/>
      <c r="D49" s="83"/>
      <c r="E49" s="54"/>
      <c r="F49" s="92"/>
      <c r="G49" s="76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">
      <c r="A50" s="20"/>
      <c r="B50" s="20"/>
      <c r="C50" s="20"/>
      <c r="D50" s="84">
        <f>D13-D47</f>
        <v>-7796535.09785715</v>
      </c>
      <c r="E50" s="84">
        <f>D13-E47</f>
        <v>1257569.9021428498</v>
      </c>
      <c r="F50" s="97">
        <f>D13-F47</f>
        <v>1372768.9021428498</v>
      </c>
      <c r="G50" s="84">
        <f>D13-G47</f>
        <v>2637067.1521428498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8:17" ht="15"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8:17" ht="15"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8:17" ht="15"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8:17" ht="15"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8:17" ht="15">
      <c r="H55" s="53"/>
      <c r="I55" s="101"/>
      <c r="J55" s="53"/>
      <c r="K55" s="53"/>
      <c r="L55" s="53"/>
      <c r="M55" s="53"/>
      <c r="N55" s="53"/>
      <c r="O55" s="53"/>
      <c r="P55" s="53"/>
      <c r="Q55" s="53"/>
    </row>
    <row r="56" spans="8:17" ht="15"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8:17" ht="15"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20" customFormat="1" ht="13.5" customHeight="1">
      <c r="A58"/>
      <c r="B58"/>
      <c r="C58"/>
      <c r="D58"/>
      <c r="E58"/>
      <c r="F58" s="95"/>
      <c r="G58"/>
      <c r="H58" s="53"/>
      <c r="I58" s="53"/>
      <c r="J58" s="53"/>
      <c r="K58" s="53"/>
      <c r="L58" s="53"/>
      <c r="M58" s="53"/>
      <c r="N58" s="53"/>
      <c r="O58" s="53"/>
      <c r="P58" s="53"/>
      <c r="Q58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zoomScale="70" zoomScaleNormal="70" zoomScalePageLayoutView="0" workbookViewId="0" topLeftCell="A1">
      <selection activeCell="E7" sqref="E7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4.7109375" style="95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491</v>
      </c>
    </row>
    <row r="3" ht="15">
      <c r="B3" s="20" t="s">
        <v>539</v>
      </c>
    </row>
    <row r="4" ht="15">
      <c r="B4" s="20" t="s">
        <v>534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5108040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2046</v>
      </c>
      <c r="E7" s="55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v>2027</v>
      </c>
      <c r="E8" s="59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2520</v>
      </c>
      <c r="E9" s="58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-547290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'FALL 2015'!G50</f>
        <v>2637067.1521428498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7197817.15214285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516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COUNTIF(A17:A43,"S")</f>
        <v>3</v>
      </c>
      <c r="K15" s="58">
        <f>SUMIF($A$17:$A$43,"S",$D$17:$D$43)</f>
        <v>3857600</v>
      </c>
      <c r="L15" s="30">
        <f>K15/$K$20</f>
        <v>0.21566983104670537</v>
      </c>
      <c r="M15" s="58">
        <f>SUMIF($A$17:$A$43,"S",$F$17:$F$43)</f>
        <v>1500000</v>
      </c>
      <c r="N15" s="30">
        <f>M15/$M$20</f>
        <v>0.22956489799666366</v>
      </c>
      <c r="O15" s="58">
        <f>SUMIF($A$17:$A$43,"S",$G$17:$G$43)</f>
        <v>1500000</v>
      </c>
      <c r="P15" s="30">
        <f>O15/$O$20</f>
        <v>0.2575764533964313</v>
      </c>
      <c r="Q15" s="72">
        <v>0.3</v>
      </c>
    </row>
    <row r="16" spans="1:18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COUNTIF($A$17:$A$43,"I")</f>
        <v>9</v>
      </c>
      <c r="K16" s="58">
        <f>SUMIF($A$17:$A$43,"I",$D$17:$D$43)</f>
        <v>2299530</v>
      </c>
      <c r="L16" s="71">
        <f>K16/$K$20</f>
        <v>0.12856160477676026</v>
      </c>
      <c r="M16" s="58">
        <f>SUMIF($A$17:$A$43,"I",$F$17:$F$43)</f>
        <v>502300</v>
      </c>
      <c r="N16" s="71">
        <f>M16/$M$20</f>
        <v>0.07687363217581611</v>
      </c>
      <c r="O16" s="58">
        <f>SUMIF($A$17:$A$43,"I",$G$17:$G$43)</f>
        <v>179820</v>
      </c>
      <c r="P16" s="71">
        <f>O16/$O$20</f>
        <v>0.030878265233164184</v>
      </c>
      <c r="Q16" s="72">
        <v>0.1</v>
      </c>
      <c r="R16" s="52"/>
    </row>
    <row r="17" spans="1:18" ht="15">
      <c r="A17" s="100" t="s">
        <v>111</v>
      </c>
      <c r="B17" s="54" t="s">
        <v>450</v>
      </c>
      <c r="C17" s="61"/>
      <c r="D17" s="82">
        <v>800000</v>
      </c>
      <c r="E17" s="81">
        <v>800000</v>
      </c>
      <c r="F17" s="76">
        <v>800000</v>
      </c>
      <c r="G17" s="104">
        <v>795000</v>
      </c>
      <c r="H17" s="70" t="s">
        <v>109</v>
      </c>
      <c r="I17" s="56" t="s">
        <v>117</v>
      </c>
      <c r="J17" s="53">
        <f>COUNTIF(A17:A43,"E")</f>
        <v>6</v>
      </c>
      <c r="K17" s="58">
        <f>SUMIF($A$17:$A$43,"E",$D$17:$D$43)</f>
        <v>6055865</v>
      </c>
      <c r="L17" s="71">
        <f>K17/$K$20</f>
        <v>0.33856993503516597</v>
      </c>
      <c r="M17" s="58">
        <f>SUMIF($A$17:$A$43,"E",$F$17:$F$43)</f>
        <v>1950000</v>
      </c>
      <c r="N17" s="71">
        <f>M17/$M$20</f>
        <v>0.29843436739566276</v>
      </c>
      <c r="O17" s="58">
        <f>SUMIF($A$17:$A$43,"E",$G$17:$G$43)</f>
        <v>1918100</v>
      </c>
      <c r="P17" s="71">
        <f>O17/$O$20</f>
        <v>0.32937159683979655</v>
      </c>
      <c r="Q17" s="72">
        <v>0.3</v>
      </c>
      <c r="R17" s="52"/>
    </row>
    <row r="18" spans="1:18" ht="15.75">
      <c r="A18" s="100" t="s">
        <v>111</v>
      </c>
      <c r="B18" s="54" t="s">
        <v>492</v>
      </c>
      <c r="C18" s="75"/>
      <c r="D18" s="76">
        <v>132080</v>
      </c>
      <c r="E18" s="85">
        <v>47000</v>
      </c>
      <c r="F18" s="76">
        <v>47000</v>
      </c>
      <c r="G18" s="104">
        <v>8046.68</v>
      </c>
      <c r="H18" s="70" t="s">
        <v>111</v>
      </c>
      <c r="I18" s="56" t="s">
        <v>118</v>
      </c>
      <c r="J18" s="53">
        <f>COUNTIF(A17:A47,"C")</f>
        <v>8</v>
      </c>
      <c r="K18" s="58">
        <f>SUMIF($A$17:$A$43,"C",$D$17:$D$43)</f>
        <v>4923605</v>
      </c>
      <c r="L18" s="71">
        <f>K18/$K$20</f>
        <v>0.27526779824002323</v>
      </c>
      <c r="M18" s="58">
        <f>SUMIF($A$17:$A$43,"C",$F$17:$F$43)</f>
        <v>2066800</v>
      </c>
      <c r="N18" s="71">
        <f>M18/$M$20</f>
        <v>0.3163098207863363</v>
      </c>
      <c r="O18" s="58">
        <f>SUMIF($A$17:$A$43,"C",$G$17:$G$43)</f>
        <v>2121593.68</v>
      </c>
      <c r="P18" s="71">
        <f>O18/$O$20</f>
        <v>0.36431505042845547</v>
      </c>
      <c r="Q18" s="72">
        <v>0.3</v>
      </c>
      <c r="R18" s="52"/>
    </row>
    <row r="19" spans="1:18" ht="15.75">
      <c r="A19" s="100" t="s">
        <v>111</v>
      </c>
      <c r="B19" s="54" t="s">
        <v>493</v>
      </c>
      <c r="C19" s="75"/>
      <c r="D19" s="76">
        <v>1283920</v>
      </c>
      <c r="E19" s="85">
        <v>565000</v>
      </c>
      <c r="F19" s="76">
        <v>565000</v>
      </c>
      <c r="G19" s="104">
        <v>552080</v>
      </c>
      <c r="H19" s="70" t="s">
        <v>113</v>
      </c>
      <c r="I19" s="56" t="s">
        <v>125</v>
      </c>
      <c r="J19" s="53">
        <f>COUNTIF(A17:A43,"M")</f>
        <v>1</v>
      </c>
      <c r="K19" s="58">
        <f>SUMIF($A$17:$A$43,"M",$D$17:$D$43)</f>
        <v>750000</v>
      </c>
      <c r="L19" s="71">
        <f>K19/$K$20</f>
        <v>0.04193083090134514</v>
      </c>
      <c r="M19" s="58">
        <f>SUMIF($A$17:$A$43,"M",$F$17:$F$43)</f>
        <v>515000</v>
      </c>
      <c r="N19" s="71">
        <f>M19/$M$20</f>
        <v>0.0788172816455212</v>
      </c>
      <c r="O19" s="58">
        <f>SUMIF($A$17:$A$43,"M",$G$17:$G$43)</f>
        <v>104000</v>
      </c>
      <c r="P19" s="71">
        <f>O19/$O$20</f>
        <v>0.01785863410215257</v>
      </c>
      <c r="Q19" s="72">
        <v>0</v>
      </c>
      <c r="R19" s="52"/>
    </row>
    <row r="20" spans="1:17" ht="15.75">
      <c r="A20" s="100" t="s">
        <v>109</v>
      </c>
      <c r="B20" s="54" t="s">
        <v>494</v>
      </c>
      <c r="C20" s="75"/>
      <c r="D20" s="76">
        <v>953500</v>
      </c>
      <c r="E20" s="85">
        <v>0</v>
      </c>
      <c r="F20" s="76">
        <v>0</v>
      </c>
      <c r="G20" s="104"/>
      <c r="H20" s="53"/>
      <c r="I20" s="77" t="s">
        <v>124</v>
      </c>
      <c r="J20" s="78">
        <f>SUM(J15:J19)</f>
        <v>27</v>
      </c>
      <c r="K20" s="78">
        <f>SUM(K15:K19)</f>
        <v>17886600</v>
      </c>
      <c r="L20" s="78"/>
      <c r="M20" s="78">
        <f>SUM(M15:M19)</f>
        <v>6534100</v>
      </c>
      <c r="N20" s="78"/>
      <c r="O20" s="78">
        <f>SUM(O15:O19)</f>
        <v>5823513.68</v>
      </c>
      <c r="P20" s="53"/>
      <c r="Q20" s="72"/>
    </row>
    <row r="21" spans="1:17" ht="15.75">
      <c r="A21" s="100" t="s">
        <v>109</v>
      </c>
      <c r="B21" s="54" t="s">
        <v>495</v>
      </c>
      <c r="C21" s="75"/>
      <c r="D21" s="76">
        <v>432750</v>
      </c>
      <c r="E21" s="85">
        <v>400000</v>
      </c>
      <c r="F21" s="76">
        <v>400000</v>
      </c>
      <c r="G21" s="104">
        <v>380900</v>
      </c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111</v>
      </c>
      <c r="B22" s="54" t="s">
        <v>496</v>
      </c>
      <c r="C22" s="75"/>
      <c r="D22" s="76">
        <v>582000</v>
      </c>
      <c r="E22" s="85">
        <v>366000</v>
      </c>
      <c r="F22" s="76">
        <v>366000</v>
      </c>
      <c r="G22" s="104">
        <v>322825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110</v>
      </c>
      <c r="B23" s="54" t="s">
        <v>497</v>
      </c>
      <c r="C23" s="75"/>
      <c r="D23" s="76">
        <v>90370</v>
      </c>
      <c r="E23" s="85">
        <v>60000</v>
      </c>
      <c r="F23" s="76">
        <v>60000</v>
      </c>
      <c r="G23" s="104">
        <v>36720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110</v>
      </c>
      <c r="B24" s="54" t="s">
        <v>498</v>
      </c>
      <c r="C24" s="75"/>
      <c r="D24" s="76">
        <v>580000</v>
      </c>
      <c r="E24" s="85">
        <v>0</v>
      </c>
      <c r="F24" s="76">
        <v>0</v>
      </c>
      <c r="G24" s="104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110</v>
      </c>
      <c r="B25" s="54" t="s">
        <v>460</v>
      </c>
      <c r="C25" s="75"/>
      <c r="D25" s="76">
        <v>283000</v>
      </c>
      <c r="E25" s="85">
        <v>165300</v>
      </c>
      <c r="F25" s="76">
        <v>165300</v>
      </c>
      <c r="G25" s="104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110</v>
      </c>
      <c r="B26" s="54" t="s">
        <v>499</v>
      </c>
      <c r="C26" s="75"/>
      <c r="D26" s="76">
        <v>217700</v>
      </c>
      <c r="E26" s="85">
        <v>0</v>
      </c>
      <c r="F26" s="76">
        <v>0</v>
      </c>
      <c r="G26" s="104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111</v>
      </c>
      <c r="B27" s="54" t="s">
        <v>500</v>
      </c>
      <c r="C27" s="75"/>
      <c r="D27" s="76">
        <v>324905</v>
      </c>
      <c r="E27" s="85">
        <v>280000</v>
      </c>
      <c r="F27" s="76">
        <v>280000</v>
      </c>
      <c r="G27" s="104">
        <v>278642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109</v>
      </c>
      <c r="B28" s="54" t="s">
        <v>501</v>
      </c>
      <c r="C28" s="75"/>
      <c r="D28" s="76">
        <v>1900000</v>
      </c>
      <c r="E28" s="85">
        <v>0</v>
      </c>
      <c r="F28" s="76">
        <v>0</v>
      </c>
      <c r="G28" s="104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112</v>
      </c>
      <c r="B29" s="54" t="s">
        <v>464</v>
      </c>
      <c r="C29" s="75"/>
      <c r="D29" s="76">
        <v>2940000</v>
      </c>
      <c r="E29" s="85">
        <v>1000000</v>
      </c>
      <c r="F29" s="76">
        <v>1000000</v>
      </c>
      <c r="G29" s="104">
        <v>1000000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112</v>
      </c>
      <c r="B30" s="54" t="s">
        <v>502</v>
      </c>
      <c r="C30" s="75"/>
      <c r="D30" s="76">
        <v>165000</v>
      </c>
      <c r="E30" s="85">
        <v>0</v>
      </c>
      <c r="F30" s="76">
        <v>0</v>
      </c>
      <c r="G30" s="104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110</v>
      </c>
      <c r="B31" s="54" t="s">
        <v>503</v>
      </c>
      <c r="C31" s="75"/>
      <c r="D31" s="76">
        <v>56000</v>
      </c>
      <c r="E31" s="85">
        <v>0</v>
      </c>
      <c r="F31" s="76">
        <v>0</v>
      </c>
      <c r="G31" s="104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110</v>
      </c>
      <c r="B32" s="54" t="s">
        <v>504</v>
      </c>
      <c r="C32" s="75"/>
      <c r="D32" s="76">
        <v>550000</v>
      </c>
      <c r="E32" s="85">
        <v>0</v>
      </c>
      <c r="F32" s="76">
        <v>0</v>
      </c>
      <c r="G32" s="104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110</v>
      </c>
      <c r="B33" s="54" t="s">
        <v>505</v>
      </c>
      <c r="C33" s="75"/>
      <c r="D33" s="76">
        <v>211950</v>
      </c>
      <c r="E33" s="85">
        <v>172500</v>
      </c>
      <c r="F33" s="76">
        <v>172500</v>
      </c>
      <c r="G33" s="104">
        <v>143100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110</v>
      </c>
      <c r="B34" s="54" t="s">
        <v>506</v>
      </c>
      <c r="C34" s="75"/>
      <c r="D34" s="76">
        <v>110510</v>
      </c>
      <c r="E34" s="76">
        <v>34500</v>
      </c>
      <c r="F34" s="76">
        <v>34500</v>
      </c>
      <c r="G34" s="104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113</v>
      </c>
      <c r="B35" s="54" t="s">
        <v>471</v>
      </c>
      <c r="C35" s="75"/>
      <c r="D35" s="76">
        <v>750000</v>
      </c>
      <c r="E35" s="85">
        <v>515000</v>
      </c>
      <c r="F35" s="85">
        <v>515000</v>
      </c>
      <c r="G35" s="104">
        <v>104000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112</v>
      </c>
      <c r="B36" s="54" t="s">
        <v>507</v>
      </c>
      <c r="C36" s="75"/>
      <c r="D36" s="76">
        <v>752600</v>
      </c>
      <c r="E36" s="85">
        <v>500000</v>
      </c>
      <c r="F36" s="85">
        <v>500000</v>
      </c>
      <c r="G36" s="104">
        <v>500000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111</v>
      </c>
      <c r="B37" s="54" t="s">
        <v>508</v>
      </c>
      <c r="C37" s="75"/>
      <c r="D37" s="76">
        <v>8800</v>
      </c>
      <c r="E37" s="85">
        <v>8800</v>
      </c>
      <c r="F37" s="85">
        <v>8800</v>
      </c>
      <c r="G37" s="104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109</v>
      </c>
      <c r="B38" s="54" t="s">
        <v>509</v>
      </c>
      <c r="C38" s="75"/>
      <c r="D38" s="76">
        <v>130000</v>
      </c>
      <c r="E38" s="85">
        <v>0</v>
      </c>
      <c r="F38" s="76">
        <v>0</v>
      </c>
      <c r="G38" s="104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111</v>
      </c>
      <c r="B39" s="54" t="s">
        <v>533</v>
      </c>
      <c r="C39" s="75"/>
      <c r="D39" s="76">
        <v>0</v>
      </c>
      <c r="E39" s="85">
        <v>0</v>
      </c>
      <c r="F39" s="76">
        <v>0</v>
      </c>
      <c r="G39" s="104">
        <v>165000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111</v>
      </c>
      <c r="B40" s="54" t="s">
        <v>510</v>
      </c>
      <c r="C40" s="75"/>
      <c r="D40" s="76">
        <v>1791900</v>
      </c>
      <c r="E40" s="85">
        <v>0</v>
      </c>
      <c r="F40" s="85">
        <v>0</v>
      </c>
      <c r="G40" s="104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109</v>
      </c>
      <c r="B41" s="54" t="s">
        <v>511</v>
      </c>
      <c r="C41" s="75"/>
      <c r="D41" s="76">
        <v>1000000</v>
      </c>
      <c r="E41" s="76">
        <v>800000</v>
      </c>
      <c r="F41" s="76">
        <v>800000</v>
      </c>
      <c r="G41" s="104">
        <v>800000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110</v>
      </c>
      <c r="B42" s="54" t="s">
        <v>512</v>
      </c>
      <c r="C42" s="75"/>
      <c r="D42" s="76">
        <v>200000</v>
      </c>
      <c r="E42" s="85">
        <v>70000</v>
      </c>
      <c r="F42" s="76">
        <v>70000</v>
      </c>
      <c r="G42" s="104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109</v>
      </c>
      <c r="B43" s="54" t="s">
        <v>513</v>
      </c>
      <c r="C43" s="75"/>
      <c r="D43" s="76">
        <v>1639615</v>
      </c>
      <c r="E43" s="85">
        <v>750000</v>
      </c>
      <c r="F43" s="76">
        <v>750000</v>
      </c>
      <c r="G43" s="104">
        <v>737200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53"/>
      <c r="B44" s="75"/>
      <c r="C44" s="53"/>
      <c r="D44" s="76"/>
      <c r="E44" s="53"/>
      <c r="F44" s="9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">
      <c r="A45" s="53"/>
      <c r="B45" s="53"/>
      <c r="C45" s="53"/>
      <c r="D45" s="80">
        <f>SUM(D17:D43)</f>
        <v>17886600</v>
      </c>
      <c r="E45" s="80">
        <f>SUM(E17:E43)</f>
        <v>6534100</v>
      </c>
      <c r="F45" s="96">
        <f>SUM(F17:F43)</f>
        <v>6534100</v>
      </c>
      <c r="G45" s="80">
        <f>SUM(G17:G43)</f>
        <v>5823513.68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53"/>
      <c r="B46" s="53"/>
      <c r="C46" s="53"/>
      <c r="D46" s="80"/>
      <c r="E46" s="80"/>
      <c r="F46" s="90"/>
      <c r="G46" s="80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53"/>
      <c r="B47" s="53"/>
      <c r="C47" s="53"/>
      <c r="D47" s="83"/>
      <c r="E47" s="54"/>
      <c r="F47" s="92"/>
      <c r="G47" s="76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">
      <c r="A48" s="20"/>
      <c r="B48" s="20"/>
      <c r="C48" s="20"/>
      <c r="D48" s="84">
        <f>D13-D45</f>
        <v>-10688782.847857151</v>
      </c>
      <c r="E48" s="84">
        <f>D13-E45</f>
        <v>663717.1521428498</v>
      </c>
      <c r="F48" s="97">
        <f>D13-F45</f>
        <v>663717.1521428498</v>
      </c>
      <c r="G48" s="84">
        <f>D13-G45</f>
        <v>1374303.47214285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8:17" ht="15"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8:17" ht="15"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8:17" ht="15"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8:17" ht="15"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8:17" ht="15"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8:17" ht="15"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8:17" ht="15"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8:17" ht="15">
      <c r="H56" s="53"/>
      <c r="I56" s="101"/>
      <c r="J56" s="53"/>
      <c r="K56" s="53"/>
      <c r="L56" s="53"/>
      <c r="M56" s="53"/>
      <c r="N56" s="53"/>
      <c r="O56" s="53"/>
      <c r="P56" s="53"/>
      <c r="Q56" s="53"/>
    </row>
    <row r="57" spans="8:17" ht="15"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8:17" ht="15"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s="20" customFormat="1" ht="13.5" customHeight="1">
      <c r="A59"/>
      <c r="B59"/>
      <c r="C59"/>
      <c r="D59"/>
      <c r="E59"/>
      <c r="F59" s="95"/>
      <c r="G59"/>
      <c r="H59" s="53"/>
      <c r="I59" s="53"/>
      <c r="J59" s="53"/>
      <c r="K59" s="53"/>
      <c r="L59" s="53"/>
      <c r="M59" s="53"/>
      <c r="N59" s="53"/>
      <c r="O59" s="53"/>
      <c r="P59" s="53"/>
      <c r="Q59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zoomScale="70" zoomScaleNormal="70" zoomScalePageLayoutView="0" workbookViewId="0" topLeftCell="A1">
      <selection activeCell="D8" sqref="D8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515</v>
      </c>
    </row>
    <row r="3" ht="15">
      <c r="B3" s="20" t="s">
        <v>541</v>
      </c>
    </row>
    <row r="4" ht="15">
      <c r="B4" s="20" t="s">
        <v>573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8508000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2144</v>
      </c>
      <c r="E7" s="55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D7-17</f>
        <v>2127</v>
      </c>
      <c r="E8" s="59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4000</v>
      </c>
      <c r="E9" s="58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-911571.4285714291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'SPRING 2016'!G48</f>
        <v>1374303.47214285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8970732.04357142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COUNTIF(A17:A43,"S")</f>
        <v>4</v>
      </c>
      <c r="K15" s="58">
        <f>SUMIF($A$17:$A$43,"S",$D$17:$D$43)</f>
        <v>1312000</v>
      </c>
      <c r="L15" s="30">
        <f>K15/$K$20</f>
        <v>0.16727951488940682</v>
      </c>
      <c r="M15" s="58">
        <f>SUMIF($A$17:$A$43,"S",$F$17:$F$43)</f>
        <v>1148100</v>
      </c>
      <c r="N15" s="30">
        <f>M15/$M$20</f>
        <v>0.15292788772767354</v>
      </c>
      <c r="O15" s="58">
        <f>SUMIF($A$17:$A$43,"S",$G$17:$G$43)</f>
        <v>946406</v>
      </c>
      <c r="P15" s="30">
        <f>O15/$O$20</f>
        <v>0.16705930532436378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COUNTIF($A$17:$A$43,"I")</f>
        <v>5</v>
      </c>
      <c r="K16" s="58">
        <f>SUMIF($A$17:$A$43,"I",$D$17:$D$43)</f>
        <v>403980</v>
      </c>
      <c r="L16" s="71">
        <f>K16/$K$20</f>
        <v>0.051507300628828176</v>
      </c>
      <c r="M16" s="58">
        <f>SUMIF($A$17:$A$43,"I",$F$17:$F$43)</f>
        <v>213980</v>
      </c>
      <c r="N16" s="71">
        <f>M16/$M$20</f>
        <v>0.02850231636265794</v>
      </c>
      <c r="O16" s="58">
        <f>SUMIF($A$17:$A$43,"I",$G$17:$G$43)</f>
        <v>49255</v>
      </c>
      <c r="P16" s="71">
        <f>O16/$O$20</f>
        <v>0.00869447793415462</v>
      </c>
      <c r="Q16" s="72">
        <v>0.1</v>
      </c>
    </row>
    <row r="17" spans="1:18" ht="15">
      <c r="A17" s="100" t="s">
        <v>111</v>
      </c>
      <c r="B17" s="54" t="s">
        <v>450</v>
      </c>
      <c r="C17" s="61"/>
      <c r="D17" s="82">
        <v>1000000</v>
      </c>
      <c r="E17" s="81">
        <v>1000000</v>
      </c>
      <c r="F17" s="76">
        <v>1000000</v>
      </c>
      <c r="G17" s="104"/>
      <c r="H17" s="70" t="s">
        <v>109</v>
      </c>
      <c r="I17" s="56" t="s">
        <v>117</v>
      </c>
      <c r="J17" s="53">
        <f>COUNTIF(A17:A43,"E")</f>
        <v>8</v>
      </c>
      <c r="K17" s="58">
        <f>SUMIF($A$17:$A$43,"E",$D$17:$D$43)</f>
        <v>3651580</v>
      </c>
      <c r="L17" s="71">
        <f>K17/$K$20</f>
        <v>0.46557509983221046</v>
      </c>
      <c r="M17" s="58">
        <f>SUMIF($A$17:$A$43,"E",$F$17:$F$43)</f>
        <v>3372780</v>
      </c>
      <c r="N17" s="71">
        <f>M17/$M$20</f>
        <v>0.44925713889917496</v>
      </c>
      <c r="O17" s="58">
        <f>SUMIF($A$17:$A$43,"E",$G$17:$G$43)</f>
        <v>3088585</v>
      </c>
      <c r="P17" s="71">
        <f>O17/$O$20</f>
        <v>0.5451961045632108</v>
      </c>
      <c r="Q17" s="72">
        <v>0.3</v>
      </c>
      <c r="R17" s="52">
        <f>P17-Q17</f>
        <v>0.24519610456321078</v>
      </c>
    </row>
    <row r="18" spans="1:18" ht="15.75">
      <c r="A18" s="100" t="s">
        <v>111</v>
      </c>
      <c r="B18" s="54" t="s">
        <v>518</v>
      </c>
      <c r="C18" s="75"/>
      <c r="D18" s="76">
        <v>28000</v>
      </c>
      <c r="E18" s="85">
        <v>26000</v>
      </c>
      <c r="F18" s="76">
        <v>26000</v>
      </c>
      <c r="G18" s="104">
        <v>25310</v>
      </c>
      <c r="H18" s="70" t="s">
        <v>111</v>
      </c>
      <c r="I18" s="56" t="s">
        <v>118</v>
      </c>
      <c r="J18" s="53">
        <f>COUNTIF(A17:A47,"C")</f>
        <v>8</v>
      </c>
      <c r="K18" s="58">
        <f>SUMIF($A$17:$A$43,"C",$D$17:$D$43)</f>
        <v>1990600</v>
      </c>
      <c r="L18" s="71">
        <f>K18/$K$20</f>
        <v>0.25380076397778445</v>
      </c>
      <c r="M18" s="58">
        <f>SUMIF($A$17:$A$43,"C",$F$17:$F$43)</f>
        <v>2432600</v>
      </c>
      <c r="N18" s="71">
        <f>M18/$M$20</f>
        <v>0.32402437042621607</v>
      </c>
      <c r="O18" s="58">
        <f>SUMIF($A$17:$A$43,"C",$G$17:$G$43)</f>
        <v>1383965</v>
      </c>
      <c r="P18" s="71">
        <f>O18/$O$20</f>
        <v>0.24429708971966907</v>
      </c>
      <c r="Q18" s="72">
        <v>0.3</v>
      </c>
      <c r="R18" s="52"/>
    </row>
    <row r="19" spans="1:18" ht="15.75">
      <c r="A19" s="100" t="s">
        <v>111</v>
      </c>
      <c r="B19" s="54" t="s">
        <v>519</v>
      </c>
      <c r="C19" s="75"/>
      <c r="D19" s="76">
        <v>19000</v>
      </c>
      <c r="E19" s="85">
        <v>19000</v>
      </c>
      <c r="F19" s="76">
        <v>19000</v>
      </c>
      <c r="G19" s="104">
        <v>19000</v>
      </c>
      <c r="H19" s="70" t="s">
        <v>113</v>
      </c>
      <c r="I19" s="56" t="s">
        <v>125</v>
      </c>
      <c r="J19" s="53">
        <f>COUNTIF(A17:A43,"M")</f>
        <v>2</v>
      </c>
      <c r="K19" s="58">
        <f>SUMIF($A$17:$A$43,"M",$D$17:$D$43)</f>
        <v>485000</v>
      </c>
      <c r="L19" s="71">
        <f>K19/$K$20</f>
        <v>0.06183732067177005</v>
      </c>
      <c r="M19" s="58">
        <f>SUMIF($A$17:$A$43,"M",$F$17:$F$43)</f>
        <v>340000</v>
      </c>
      <c r="N19" s="71">
        <f>M19/$M$20</f>
        <v>0.045288286584277505</v>
      </c>
      <c r="O19" s="58">
        <f>SUMIF($A$17:$A$43,"M",$G$17:$G$43)</f>
        <v>196879</v>
      </c>
      <c r="P19" s="71">
        <f>O19/$O$20</f>
        <v>0.034753022458601714</v>
      </c>
      <c r="Q19" s="72">
        <v>0</v>
      </c>
      <c r="R19" s="52">
        <f>P19-Q19</f>
        <v>0.034753022458601714</v>
      </c>
    </row>
    <row r="20" spans="1:17" ht="15.75">
      <c r="A20" s="100" t="s">
        <v>111</v>
      </c>
      <c r="B20" s="54" t="s">
        <v>520</v>
      </c>
      <c r="C20" s="75"/>
      <c r="D20" s="76">
        <v>51600</v>
      </c>
      <c r="E20" s="85">
        <v>51600</v>
      </c>
      <c r="F20" s="76">
        <v>51600</v>
      </c>
      <c r="G20" s="104"/>
      <c r="H20" s="53"/>
      <c r="I20" s="77" t="s">
        <v>124</v>
      </c>
      <c r="J20" s="78">
        <f>SUM(J15:J19)</f>
        <v>27</v>
      </c>
      <c r="K20" s="78">
        <f>SUM(K15:K19)</f>
        <v>7843160</v>
      </c>
      <c r="L20" s="78"/>
      <c r="M20" s="78">
        <f>SUM(M15:M19)</f>
        <v>7507460</v>
      </c>
      <c r="N20" s="78"/>
      <c r="O20" s="78">
        <f>SUM(O15:O19)</f>
        <v>5665090</v>
      </c>
      <c r="P20" s="53"/>
      <c r="Q20" s="72"/>
    </row>
    <row r="21" spans="1:17" ht="15.75">
      <c r="A21" s="100" t="s">
        <v>109</v>
      </c>
      <c r="B21" s="54" t="s">
        <v>535</v>
      </c>
      <c r="C21" s="75"/>
      <c r="D21" s="76"/>
      <c r="E21" s="85"/>
      <c r="F21" s="76">
        <v>601200</v>
      </c>
      <c r="G21" s="104">
        <v>566780</v>
      </c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109</v>
      </c>
      <c r="B22" s="54" t="s">
        <v>521</v>
      </c>
      <c r="C22" s="75"/>
      <c r="D22" s="76">
        <v>601000</v>
      </c>
      <c r="E22" s="85">
        <v>500000</v>
      </c>
      <c r="F22" s="76">
        <f>550000+265000</f>
        <v>815000</v>
      </c>
      <c r="G22" s="104">
        <f>783600-94000</f>
        <v>689600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109</v>
      </c>
      <c r="B23" s="54" t="s">
        <v>522</v>
      </c>
      <c r="C23" s="75"/>
      <c r="D23" s="76">
        <v>974780</v>
      </c>
      <c r="E23" s="85">
        <v>724780</v>
      </c>
      <c r="F23" s="76">
        <v>724780</v>
      </c>
      <c r="G23" s="104">
        <v>719500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109</v>
      </c>
      <c r="B24" s="54" t="s">
        <v>456</v>
      </c>
      <c r="C24" s="75"/>
      <c r="D24" s="76">
        <v>44000</v>
      </c>
      <c r="E24" s="85">
        <v>44000</v>
      </c>
      <c r="F24" s="76">
        <v>44000</v>
      </c>
      <c r="G24" s="104">
        <v>43000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109</v>
      </c>
      <c r="B25" s="54" t="s">
        <v>457</v>
      </c>
      <c r="C25" s="75"/>
      <c r="D25" s="76">
        <v>44000</v>
      </c>
      <c r="E25" s="85">
        <v>44000</v>
      </c>
      <c r="F25" s="76">
        <v>0</v>
      </c>
      <c r="G25" s="104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110</v>
      </c>
      <c r="B26" s="54" t="s">
        <v>523</v>
      </c>
      <c r="C26" s="75"/>
      <c r="D26" s="76">
        <v>48500</v>
      </c>
      <c r="E26" s="85">
        <v>48500</v>
      </c>
      <c r="F26" s="76">
        <v>48500</v>
      </c>
      <c r="G26" s="104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111</v>
      </c>
      <c r="B27" s="54" t="s">
        <v>524</v>
      </c>
      <c r="C27" s="75"/>
      <c r="D27" s="76">
        <v>72000</v>
      </c>
      <c r="E27" s="85">
        <v>36000</v>
      </c>
      <c r="F27" s="76">
        <v>36000</v>
      </c>
      <c r="G27" s="104">
        <v>17840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110</v>
      </c>
      <c r="B28" s="54" t="s">
        <v>525</v>
      </c>
      <c r="C28" s="75"/>
      <c r="D28" s="76">
        <v>56000</v>
      </c>
      <c r="E28" s="85">
        <v>56000</v>
      </c>
      <c r="F28" s="76">
        <v>56000</v>
      </c>
      <c r="G28" s="104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111</v>
      </c>
      <c r="B29" s="54" t="s">
        <v>462</v>
      </c>
      <c r="C29" s="75"/>
      <c r="D29" s="76">
        <v>520000</v>
      </c>
      <c r="E29" s="85">
        <v>300000</v>
      </c>
      <c r="F29" s="76">
        <v>300000</v>
      </c>
      <c r="G29" s="104">
        <v>324235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112</v>
      </c>
      <c r="B30" s="54" t="s">
        <v>502</v>
      </c>
      <c r="C30" s="75"/>
      <c r="D30" s="76"/>
      <c r="E30" s="85"/>
      <c r="F30" s="76">
        <v>95300</v>
      </c>
      <c r="G30" s="104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112</v>
      </c>
      <c r="B31" s="54" t="s">
        <v>463</v>
      </c>
      <c r="C31" s="75"/>
      <c r="D31" s="76">
        <v>112000</v>
      </c>
      <c r="E31" s="85">
        <v>112000</v>
      </c>
      <c r="F31" s="76">
        <v>102800</v>
      </c>
      <c r="G31" s="104">
        <v>84500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112</v>
      </c>
      <c r="B32" s="54" t="s">
        <v>536</v>
      </c>
      <c r="C32" s="75"/>
      <c r="D32" s="76"/>
      <c r="E32" s="85"/>
      <c r="F32" s="76">
        <v>150000</v>
      </c>
      <c r="G32" s="104">
        <v>142500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112</v>
      </c>
      <c r="B33" s="54" t="s">
        <v>537</v>
      </c>
      <c r="C33" s="75"/>
      <c r="D33" s="76">
        <v>1200000</v>
      </c>
      <c r="E33" s="85">
        <v>1200000</v>
      </c>
      <c r="F33" s="76">
        <v>800000</v>
      </c>
      <c r="G33" s="104">
        <v>719406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110</v>
      </c>
      <c r="B34" s="54" t="s">
        <v>526</v>
      </c>
      <c r="C34" s="75"/>
      <c r="D34" s="76">
        <v>83480</v>
      </c>
      <c r="E34" s="85">
        <v>83480</v>
      </c>
      <c r="F34" s="76">
        <v>53480</v>
      </c>
      <c r="G34" s="104">
        <v>49255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110</v>
      </c>
      <c r="B35" s="54" t="s">
        <v>527</v>
      </c>
      <c r="C35" s="75"/>
      <c r="D35" s="76">
        <v>56000</v>
      </c>
      <c r="E35" s="85">
        <v>56000</v>
      </c>
      <c r="F35" s="76">
        <v>56000</v>
      </c>
      <c r="G35" s="104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109</v>
      </c>
      <c r="B36" s="54" t="s">
        <v>528</v>
      </c>
      <c r="C36" s="75"/>
      <c r="D36" s="76">
        <v>72800</v>
      </c>
      <c r="E36" s="85">
        <v>72800</v>
      </c>
      <c r="F36" s="76">
        <v>72800</v>
      </c>
      <c r="G36" s="104">
        <v>70290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109</v>
      </c>
      <c r="B37" s="54" t="s">
        <v>529</v>
      </c>
      <c r="C37" s="75"/>
      <c r="D37" s="76">
        <v>115000</v>
      </c>
      <c r="E37" s="76">
        <v>115000</v>
      </c>
      <c r="F37" s="76">
        <v>115000</v>
      </c>
      <c r="G37" s="104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110</v>
      </c>
      <c r="B38" s="54" t="s">
        <v>469</v>
      </c>
      <c r="C38" s="75"/>
      <c r="D38" s="76">
        <v>160000</v>
      </c>
      <c r="E38" s="85">
        <v>160000</v>
      </c>
      <c r="F38" s="85">
        <v>0</v>
      </c>
      <c r="G38" s="104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113</v>
      </c>
      <c r="B39" s="54" t="s">
        <v>471</v>
      </c>
      <c r="C39" s="75"/>
      <c r="D39" s="76">
        <v>300000</v>
      </c>
      <c r="E39" s="85">
        <v>200000</v>
      </c>
      <c r="F39" s="85">
        <v>200000</v>
      </c>
      <c r="G39" s="104">
        <v>196879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111</v>
      </c>
      <c r="B40" s="54" t="s">
        <v>530</v>
      </c>
      <c r="C40" s="75"/>
      <c r="D40" s="76">
        <v>300000</v>
      </c>
      <c r="E40" s="85">
        <v>300000</v>
      </c>
      <c r="F40" s="85">
        <v>0</v>
      </c>
      <c r="G40" s="104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113</v>
      </c>
      <c r="B41" s="54" t="s">
        <v>531</v>
      </c>
      <c r="C41" s="75"/>
      <c r="D41" s="76">
        <v>185000</v>
      </c>
      <c r="E41" s="85">
        <v>185000</v>
      </c>
      <c r="F41" s="76">
        <f>70000+70000</f>
        <v>140000</v>
      </c>
      <c r="G41" s="104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111</v>
      </c>
      <c r="B42" s="54" t="s">
        <v>538</v>
      </c>
      <c r="C42" s="75"/>
      <c r="D42" s="76"/>
      <c r="E42" s="85"/>
      <c r="F42" s="76">
        <v>1000000</v>
      </c>
      <c r="G42" s="104">
        <v>997580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109</v>
      </c>
      <c r="B43" s="54" t="s">
        <v>475</v>
      </c>
      <c r="C43" s="75"/>
      <c r="D43" s="76">
        <v>1800000</v>
      </c>
      <c r="E43" s="85">
        <v>1000000</v>
      </c>
      <c r="F43" s="85">
        <v>1000000</v>
      </c>
      <c r="G43" s="104">
        <v>999415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53"/>
      <c r="B44" s="75"/>
      <c r="C44" s="53"/>
      <c r="D44" s="76"/>
      <c r="E44" s="53"/>
      <c r="F44" s="9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">
      <c r="A45" s="53"/>
      <c r="B45" s="53"/>
      <c r="C45" s="53"/>
      <c r="D45" s="80">
        <f>SUM(D17:D43)</f>
        <v>7843160</v>
      </c>
      <c r="E45" s="80">
        <f>SUM(E17:E43)</f>
        <v>6334160</v>
      </c>
      <c r="F45" s="96">
        <f>SUM(F17:F43)</f>
        <v>7507460</v>
      </c>
      <c r="G45" s="80">
        <f>SUM(G17:G43)</f>
        <v>5665090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53"/>
      <c r="B46" s="53"/>
      <c r="C46" s="53"/>
      <c r="D46" s="80"/>
      <c r="E46" s="80"/>
      <c r="F46" s="90"/>
      <c r="G46" s="80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53"/>
      <c r="B47" s="53"/>
      <c r="C47" s="53"/>
      <c r="D47" s="83"/>
      <c r="E47" s="54"/>
      <c r="F47" s="92"/>
      <c r="G47" s="76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">
      <c r="A48" s="20"/>
      <c r="B48" s="20"/>
      <c r="C48" s="20"/>
      <c r="D48" s="84">
        <f>D13-D45</f>
        <v>1127572.04357142</v>
      </c>
      <c r="E48" s="84">
        <f>D13-E45</f>
        <v>2636572.04357142</v>
      </c>
      <c r="F48" s="97">
        <f>D13-F45</f>
        <v>1463272.04357142</v>
      </c>
      <c r="G48" s="84">
        <f>D13-G45</f>
        <v>3305642.04357142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8:17" ht="15"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8:17" ht="15"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8:17" ht="15"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8:17" ht="15">
      <c r="H52" s="53"/>
      <c r="I52" s="101"/>
      <c r="J52" s="53"/>
      <c r="K52" s="53"/>
      <c r="L52" s="53"/>
      <c r="M52" s="53"/>
      <c r="N52" s="53"/>
      <c r="O52" s="53"/>
      <c r="P52" s="53"/>
      <c r="Q52" s="53"/>
    </row>
    <row r="53" spans="8:17" ht="15"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8:17" ht="15"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s="20" customFormat="1" ht="13.5" customHeight="1">
      <c r="A55"/>
      <c r="B55"/>
      <c r="C55"/>
      <c r="D55"/>
      <c r="E55"/>
      <c r="F55" s="95"/>
      <c r="G55"/>
      <c r="H55" s="53"/>
      <c r="I55" s="53"/>
      <c r="J55" s="53"/>
      <c r="K55" s="53"/>
      <c r="L55" s="53"/>
      <c r="M55" s="53"/>
      <c r="N55" s="53"/>
      <c r="O55" s="53"/>
      <c r="P55" s="53"/>
      <c r="Q55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zoomScale="70" zoomScaleNormal="70" zoomScalePageLayoutView="0" workbookViewId="0" topLeftCell="A1">
      <selection activeCell="D8" sqref="D8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540</v>
      </c>
    </row>
    <row r="3" ht="15">
      <c r="B3" s="20" t="s">
        <v>577</v>
      </c>
    </row>
    <row r="4" ht="15">
      <c r="B4" s="20" t="s">
        <v>609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8020000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2017</v>
      </c>
      <c r="E7" s="10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D7-12</f>
        <v>2005</v>
      </c>
      <c r="E8" s="110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4000</v>
      </c>
      <c r="E9" s="111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-859285.7142857146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'FALL 2016'!G48</f>
        <v>3305642.04357142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10466356.329285705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COUNTIF(A17:A52,"S")</f>
        <v>5</v>
      </c>
      <c r="K15" s="58">
        <f>SUMIF($A$17:$A$52,"S",$D$17:$D$52)</f>
        <v>2879500</v>
      </c>
      <c r="L15" s="30">
        <f>K15/$K$20</f>
        <v>0.1826161245440067</v>
      </c>
      <c r="M15" s="58">
        <f>SUMIF($A$17:$A$52,"S",$F$17:$F$52)</f>
        <v>1517500</v>
      </c>
      <c r="N15" s="30">
        <f>M15/$M$20</f>
        <v>0.15154459645396628</v>
      </c>
      <c r="O15" s="58">
        <f>SUMIF($A$17:$A$52,"S",$G$17:$G$52)</f>
        <v>1186731</v>
      </c>
      <c r="P15" s="30">
        <f>O15/$O$20</f>
        <v>0.15401916463082863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COUNTIF($A$17:$A$52,"I")</f>
        <v>7</v>
      </c>
      <c r="K16" s="58">
        <f>SUMIF($A$17:$A$52,"I",$D$17:$D$52)</f>
        <v>2901000</v>
      </c>
      <c r="L16" s="71">
        <f>K16/$K$20</f>
        <v>0.18397964136209877</v>
      </c>
      <c r="M16" s="58">
        <f>SUMIF($A$17:$A$52,"I",$F$17:$F$52)</f>
        <v>1873000</v>
      </c>
      <c r="N16" s="71">
        <f>M16/$M$20</f>
        <v>0.1870464772047966</v>
      </c>
      <c r="O16" s="58">
        <f>SUMIF($A$17:$A$52,"I",$G$17:$G$52)</f>
        <v>501270</v>
      </c>
      <c r="P16" s="71">
        <f>O16/$O$20</f>
        <v>0.06505702358368953</v>
      </c>
      <c r="Q16" s="72">
        <v>0.1</v>
      </c>
    </row>
    <row r="17" spans="1:17" ht="15">
      <c r="A17" s="100" t="s">
        <v>111</v>
      </c>
      <c r="B17" s="54" t="s">
        <v>542</v>
      </c>
      <c r="C17" s="61"/>
      <c r="D17" s="82">
        <v>1000000</v>
      </c>
      <c r="E17" s="81">
        <v>1000000</v>
      </c>
      <c r="F17" s="76">
        <v>1000000</v>
      </c>
      <c r="G17" s="112">
        <v>990000</v>
      </c>
      <c r="H17" s="70" t="s">
        <v>109</v>
      </c>
      <c r="I17" s="56" t="s">
        <v>117</v>
      </c>
      <c r="J17" s="53">
        <f>COUNTIF(A17:A52,"E")</f>
        <v>12</v>
      </c>
      <c r="K17" s="58">
        <f>SUMIF($A$17:$A$52,"E",$D$17:$D$52)</f>
        <v>5329864</v>
      </c>
      <c r="L17" s="71">
        <f>K17/$K$20</f>
        <v>0.338016707076443</v>
      </c>
      <c r="M17" s="58">
        <f>SUMIF($A$17:$A$52,"E",$F$17:$F$52)</f>
        <v>4114204</v>
      </c>
      <c r="N17" s="71">
        <f>M17/$M$20</f>
        <v>0.410863515590968</v>
      </c>
      <c r="O17" s="58">
        <f>SUMIF($A$17:$A$52,"E",$G$17:$G$52)</f>
        <v>3844726.19</v>
      </c>
      <c r="P17" s="71">
        <f>O17/$O$20</f>
        <v>0.49898546175845115</v>
      </c>
      <c r="Q17" s="72">
        <v>0.3</v>
      </c>
    </row>
    <row r="18" spans="1:17" ht="15.75">
      <c r="A18" s="100" t="s">
        <v>111</v>
      </c>
      <c r="B18" s="54" t="s">
        <v>543</v>
      </c>
      <c r="C18" s="75"/>
      <c r="D18" s="76">
        <v>51500</v>
      </c>
      <c r="E18" s="85">
        <v>51500</v>
      </c>
      <c r="F18" s="76">
        <v>51500</v>
      </c>
      <c r="G18" s="112">
        <v>48000</v>
      </c>
      <c r="H18" s="70" t="s">
        <v>111</v>
      </c>
      <c r="I18" s="56" t="s">
        <v>118</v>
      </c>
      <c r="J18" s="53">
        <f>COUNTIF(A17:A56,"C")</f>
        <v>9</v>
      </c>
      <c r="K18" s="58">
        <f>SUMIF($A$17:$A$52,"C",$D$17:$D$52)</f>
        <v>4547785</v>
      </c>
      <c r="L18" s="71">
        <f>K18/$K$20</f>
        <v>0.28841773639845997</v>
      </c>
      <c r="M18" s="58">
        <f>SUMIF($A$17:$A$52,"C",$F$17:$F$52)</f>
        <v>2419450</v>
      </c>
      <c r="N18" s="71">
        <f>M18/$M$20</f>
        <v>0.24161751162474382</v>
      </c>
      <c r="O18" s="58">
        <f>SUMIF($A$17:$A$52,"C",$G$17:$G$52)</f>
        <v>2164859.4</v>
      </c>
      <c r="P18" s="71">
        <f>O18/$O$20</f>
        <v>0.28096496706599633</v>
      </c>
      <c r="Q18" s="72">
        <v>0.3</v>
      </c>
    </row>
    <row r="19" spans="1:17" ht="15.75">
      <c r="A19" s="100" t="s">
        <v>111</v>
      </c>
      <c r="B19" s="54" t="s">
        <v>544</v>
      </c>
      <c r="C19" s="75"/>
      <c r="D19" s="76">
        <v>24000</v>
      </c>
      <c r="E19" s="85">
        <v>24000</v>
      </c>
      <c r="F19" s="76">
        <v>24000</v>
      </c>
      <c r="G19" s="112"/>
      <c r="H19" s="70" t="s">
        <v>113</v>
      </c>
      <c r="I19" s="56" t="s">
        <v>125</v>
      </c>
      <c r="J19" s="53">
        <f>COUNTIF(A17:A52,"M")</f>
        <v>3</v>
      </c>
      <c r="K19" s="58">
        <f>SUMIF($A$17:$A$52,"M",$D$17:$D$52)</f>
        <v>109900</v>
      </c>
      <c r="L19" s="71">
        <f>K19/$K$20</f>
        <v>0.006969790618991608</v>
      </c>
      <c r="M19" s="58">
        <f>SUMIF($A$17:$A$52,"M",$F$17:$F$52)</f>
        <v>89400</v>
      </c>
      <c r="N19" s="71">
        <f>M19/$M$20</f>
        <v>0.008927899125525263</v>
      </c>
      <c r="O19" s="58">
        <f>SUMIF($A$17:$A$52,"M",$G$17:$G$52)</f>
        <v>7500</v>
      </c>
      <c r="P19" s="71">
        <f>O19/$O$20</f>
        <v>0.0009733829610343159</v>
      </c>
      <c r="Q19" s="72">
        <v>0</v>
      </c>
    </row>
    <row r="20" spans="1:17" ht="15.75">
      <c r="A20" s="100" t="s">
        <v>111</v>
      </c>
      <c r="B20" s="54" t="s">
        <v>545</v>
      </c>
      <c r="C20" s="75"/>
      <c r="D20" s="76">
        <v>11650</v>
      </c>
      <c r="E20" s="85">
        <v>11650</v>
      </c>
      <c r="F20" s="76">
        <v>11650</v>
      </c>
      <c r="G20" s="112"/>
      <c r="H20" s="53"/>
      <c r="I20" s="77" t="s">
        <v>124</v>
      </c>
      <c r="J20" s="78">
        <f>SUM(J15:J19)</f>
        <v>36</v>
      </c>
      <c r="K20" s="78">
        <f>SUM(K15:K19)</f>
        <v>15768049</v>
      </c>
      <c r="L20" s="78"/>
      <c r="M20" s="78">
        <f>SUM(M15:M19)</f>
        <v>10013554</v>
      </c>
      <c r="N20" s="78"/>
      <c r="O20" s="78">
        <f>SUM(O15:O19)</f>
        <v>7705086.59</v>
      </c>
      <c r="P20" s="53"/>
      <c r="Q20" s="72"/>
    </row>
    <row r="21" spans="1:17" ht="15.75">
      <c r="A21" s="100" t="s">
        <v>112</v>
      </c>
      <c r="B21" s="54" t="s">
        <v>546</v>
      </c>
      <c r="C21" s="75"/>
      <c r="D21" s="76">
        <v>559500</v>
      </c>
      <c r="E21" s="85">
        <v>319500</v>
      </c>
      <c r="F21" s="76">
        <v>319500</v>
      </c>
      <c r="G21" s="112">
        <v>78900</v>
      </c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109</v>
      </c>
      <c r="B22" s="54" t="s">
        <v>547</v>
      </c>
      <c r="C22" s="75"/>
      <c r="D22" s="76">
        <v>400000</v>
      </c>
      <c r="E22" s="85">
        <v>0</v>
      </c>
      <c r="F22" s="76">
        <v>0</v>
      </c>
      <c r="G22" s="11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110</v>
      </c>
      <c r="B23" s="54" t="s">
        <v>548</v>
      </c>
      <c r="C23" s="75"/>
      <c r="D23" s="76">
        <v>246000</v>
      </c>
      <c r="E23" s="85">
        <v>246000</v>
      </c>
      <c r="F23" s="76">
        <v>246000</v>
      </c>
      <c r="G23" s="112">
        <v>231790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112</v>
      </c>
      <c r="B24" s="54" t="s">
        <v>464</v>
      </c>
      <c r="C24" s="75"/>
      <c r="D24" s="76">
        <v>2020000</v>
      </c>
      <c r="E24" s="85">
        <v>1000000</v>
      </c>
      <c r="F24" s="76">
        <v>1000000</v>
      </c>
      <c r="G24" s="112">
        <v>965000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111</v>
      </c>
      <c r="B25" s="54" t="s">
        <v>500</v>
      </c>
      <c r="C25" s="75"/>
      <c r="D25" s="76">
        <v>688335</v>
      </c>
      <c r="E25" s="85">
        <v>398000</v>
      </c>
      <c r="F25" s="76">
        <v>398000</v>
      </c>
      <c r="G25" s="112">
        <v>286440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109</v>
      </c>
      <c r="B26" s="54" t="s">
        <v>549</v>
      </c>
      <c r="C26" s="75"/>
      <c r="D26" s="76">
        <v>1000000</v>
      </c>
      <c r="E26" s="85">
        <v>1000000</v>
      </c>
      <c r="F26" s="76">
        <v>1000000</v>
      </c>
      <c r="G26" s="112">
        <v>999995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109</v>
      </c>
      <c r="B27" s="54" t="s">
        <v>569</v>
      </c>
      <c r="C27" s="75"/>
      <c r="D27" s="76">
        <v>1000000</v>
      </c>
      <c r="E27" s="85">
        <v>737000</v>
      </c>
      <c r="F27" s="76">
        <v>737000</v>
      </c>
      <c r="G27" s="112">
        <v>737000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109</v>
      </c>
      <c r="B28" s="54" t="s">
        <v>550</v>
      </c>
      <c r="C28" s="75"/>
      <c r="D28" s="76">
        <v>105704</v>
      </c>
      <c r="E28" s="85">
        <v>105704</v>
      </c>
      <c r="F28" s="76">
        <v>105704</v>
      </c>
      <c r="G28" s="112">
        <v>36250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113</v>
      </c>
      <c r="B29" s="54" t="s">
        <v>551</v>
      </c>
      <c r="C29" s="75"/>
      <c r="D29" s="76">
        <v>68400</v>
      </c>
      <c r="E29" s="85">
        <v>68400</v>
      </c>
      <c r="F29" s="76">
        <v>68400</v>
      </c>
      <c r="G29" s="112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109</v>
      </c>
      <c r="B30" s="54" t="s">
        <v>552</v>
      </c>
      <c r="C30" s="75"/>
      <c r="D30" s="76">
        <v>733660</v>
      </c>
      <c r="E30" s="85">
        <v>560000</v>
      </c>
      <c r="F30" s="76">
        <v>560000</v>
      </c>
      <c r="G30" s="112">
        <v>493255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111</v>
      </c>
      <c r="B31" s="54" t="s">
        <v>553</v>
      </c>
      <c r="C31" s="75"/>
      <c r="D31" s="76">
        <v>358000</v>
      </c>
      <c r="E31" s="85">
        <v>0</v>
      </c>
      <c r="F31" s="76">
        <v>0</v>
      </c>
      <c r="G31" s="112"/>
      <c r="H31" s="105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109</v>
      </c>
      <c r="B32" s="54" t="s">
        <v>554</v>
      </c>
      <c r="C32" s="75"/>
      <c r="D32" s="76">
        <v>144000</v>
      </c>
      <c r="E32" s="85">
        <v>0</v>
      </c>
      <c r="F32" s="76">
        <v>100000</v>
      </c>
      <c r="G32" s="112">
        <v>99900</v>
      </c>
      <c r="H32" s="105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110</v>
      </c>
      <c r="B33" s="54" t="s">
        <v>568</v>
      </c>
      <c r="C33" s="75"/>
      <c r="D33" s="76">
        <v>85000</v>
      </c>
      <c r="E33" s="85">
        <v>67000</v>
      </c>
      <c r="F33" s="76">
        <v>67000</v>
      </c>
      <c r="G33" s="112">
        <v>47480</v>
      </c>
      <c r="H33" s="105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111</v>
      </c>
      <c r="B34" s="54" t="s">
        <v>555</v>
      </c>
      <c r="C34" s="75"/>
      <c r="D34" s="76">
        <v>414300</v>
      </c>
      <c r="E34" s="85">
        <v>334300</v>
      </c>
      <c r="F34" s="76">
        <v>334300</v>
      </c>
      <c r="G34" s="112">
        <v>240420</v>
      </c>
      <c r="H34" s="105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111</v>
      </c>
      <c r="B35" s="54" t="s">
        <v>556</v>
      </c>
      <c r="C35" s="75"/>
      <c r="D35" s="76">
        <v>1000000</v>
      </c>
      <c r="E35" s="85">
        <v>0</v>
      </c>
      <c r="F35" s="76">
        <v>0</v>
      </c>
      <c r="G35" s="112"/>
      <c r="H35" s="105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109</v>
      </c>
      <c r="B36" s="54" t="s">
        <v>557</v>
      </c>
      <c r="C36" s="75"/>
      <c r="D36" s="76">
        <v>1070000</v>
      </c>
      <c r="E36" s="85">
        <v>1070000</v>
      </c>
      <c r="F36" s="76">
        <v>470000</v>
      </c>
      <c r="G36" s="112">
        <v>411030</v>
      </c>
      <c r="H36" s="105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111</v>
      </c>
      <c r="B37" s="54" t="s">
        <v>558</v>
      </c>
      <c r="C37" s="75"/>
      <c r="D37" s="76">
        <v>1000000</v>
      </c>
      <c r="E37" s="85">
        <v>600000</v>
      </c>
      <c r="F37" s="76">
        <v>600000</v>
      </c>
      <c r="G37" s="112">
        <v>599999.4</v>
      </c>
      <c r="H37" s="105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110</v>
      </c>
      <c r="B38" s="54" t="s">
        <v>559</v>
      </c>
      <c r="C38" s="75"/>
      <c r="D38" s="76">
        <v>1000000</v>
      </c>
      <c r="E38" s="76">
        <v>335000</v>
      </c>
      <c r="F38" s="76">
        <v>335000</v>
      </c>
      <c r="G38" s="112"/>
      <c r="H38" s="105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110</v>
      </c>
      <c r="B39" s="54" t="s">
        <v>572</v>
      </c>
      <c r="C39" s="75"/>
      <c r="D39" s="76">
        <v>110000</v>
      </c>
      <c r="E39" s="85">
        <v>60000</v>
      </c>
      <c r="F39" s="85">
        <v>60000</v>
      </c>
      <c r="G39" s="112">
        <v>60000</v>
      </c>
      <c r="H39" s="105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110</v>
      </c>
      <c r="B40" s="54" t="s">
        <v>498</v>
      </c>
      <c r="C40" s="75"/>
      <c r="D40" s="76">
        <v>60000</v>
      </c>
      <c r="E40" s="85">
        <v>110000</v>
      </c>
      <c r="F40" s="85">
        <v>10000</v>
      </c>
      <c r="G40" s="112">
        <v>7000</v>
      </c>
      <c r="H40" s="105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113</v>
      </c>
      <c r="B41" s="54" t="s">
        <v>560</v>
      </c>
      <c r="C41" s="75"/>
      <c r="D41" s="76">
        <v>20500</v>
      </c>
      <c r="E41" s="85">
        <v>20500</v>
      </c>
      <c r="F41" s="85">
        <v>0</v>
      </c>
      <c r="G41" s="112"/>
      <c r="H41" s="105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112</v>
      </c>
      <c r="B42" s="54" t="s">
        <v>561</v>
      </c>
      <c r="C42" s="75"/>
      <c r="D42" s="76">
        <v>180000</v>
      </c>
      <c r="E42" s="85">
        <v>180000</v>
      </c>
      <c r="F42" s="76">
        <v>0</v>
      </c>
      <c r="G42" s="112"/>
      <c r="H42" s="105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110</v>
      </c>
      <c r="B43" s="54" t="s">
        <v>562</v>
      </c>
      <c r="C43" s="75"/>
      <c r="D43" s="76">
        <v>1400000</v>
      </c>
      <c r="E43" s="85">
        <v>1400000</v>
      </c>
      <c r="F43" s="76">
        <v>1000000</v>
      </c>
      <c r="G43" s="112"/>
      <c r="H43" s="105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100" t="s">
        <v>109</v>
      </c>
      <c r="B44" s="54" t="s">
        <v>563</v>
      </c>
      <c r="C44" s="75"/>
      <c r="D44" s="76">
        <v>147500</v>
      </c>
      <c r="E44" s="85">
        <v>147500</v>
      </c>
      <c r="F44" s="76">
        <v>122500</v>
      </c>
      <c r="G44" s="112">
        <v>91496.19</v>
      </c>
      <c r="H44" s="105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 t="s">
        <v>113</v>
      </c>
      <c r="B45" s="54" t="s">
        <v>564</v>
      </c>
      <c r="C45" s="75"/>
      <c r="D45" s="76">
        <v>21000</v>
      </c>
      <c r="E45" s="85">
        <v>21000</v>
      </c>
      <c r="F45" s="76">
        <v>21000</v>
      </c>
      <c r="G45" s="112">
        <v>7500</v>
      </c>
      <c r="H45" s="105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100" t="s">
        <v>109</v>
      </c>
      <c r="B46" s="54" t="s">
        <v>565</v>
      </c>
      <c r="C46" s="75"/>
      <c r="D46" s="76">
        <v>100000</v>
      </c>
      <c r="E46" s="85">
        <v>100000</v>
      </c>
      <c r="F46" s="76">
        <v>0</v>
      </c>
      <c r="G46" s="112"/>
      <c r="H46" s="105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100" t="s">
        <v>109</v>
      </c>
      <c r="B47" s="54" t="s">
        <v>566</v>
      </c>
      <c r="C47" s="75"/>
      <c r="D47" s="76">
        <v>170000</v>
      </c>
      <c r="E47" s="85">
        <v>170000</v>
      </c>
      <c r="F47" s="76">
        <v>0</v>
      </c>
      <c r="G47" s="112"/>
      <c r="H47" s="105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100" t="s">
        <v>112</v>
      </c>
      <c r="B48" s="54" t="s">
        <v>567</v>
      </c>
      <c r="C48" s="75"/>
      <c r="D48" s="76">
        <v>120000</v>
      </c>
      <c r="E48" s="85">
        <v>120000</v>
      </c>
      <c r="F48" s="76">
        <v>120000</v>
      </c>
      <c r="G48" s="112">
        <v>142831</v>
      </c>
      <c r="H48" s="105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100" t="s">
        <v>109</v>
      </c>
      <c r="B49" s="54" t="s">
        <v>574</v>
      </c>
      <c r="C49" s="75"/>
      <c r="D49" s="76"/>
      <c r="E49" s="85"/>
      <c r="F49" s="76">
        <v>560000</v>
      </c>
      <c r="G49" s="112">
        <v>560000</v>
      </c>
      <c r="H49" s="105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100" t="s">
        <v>110</v>
      </c>
      <c r="B50" s="54" t="s">
        <v>575</v>
      </c>
      <c r="C50" s="75"/>
      <c r="D50" s="76"/>
      <c r="E50" s="85"/>
      <c r="F50" s="76">
        <v>155000</v>
      </c>
      <c r="G50" s="112">
        <v>155000</v>
      </c>
      <c r="H50" s="105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>
      <c r="A51" s="100" t="s">
        <v>112</v>
      </c>
      <c r="B51" s="54" t="s">
        <v>576</v>
      </c>
      <c r="C51" s="75"/>
      <c r="D51" s="76"/>
      <c r="E51" s="85"/>
      <c r="F51" s="76">
        <v>78000</v>
      </c>
      <c r="G51" s="112"/>
      <c r="H51" s="105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>
      <c r="A52" s="100" t="s">
        <v>109</v>
      </c>
      <c r="B52" s="54" t="s">
        <v>495</v>
      </c>
      <c r="C52" s="75"/>
      <c r="D52" s="76">
        <v>459000</v>
      </c>
      <c r="E52" s="85">
        <v>459000</v>
      </c>
      <c r="F52" s="76">
        <v>459000</v>
      </c>
      <c r="G52" s="112">
        <v>415800</v>
      </c>
      <c r="H52" s="105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>
      <c r="A53" s="53"/>
      <c r="B53" s="75"/>
      <c r="C53" s="53"/>
      <c r="D53" s="76"/>
      <c r="E53" s="53"/>
      <c r="F53" s="9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">
      <c r="A54" s="53"/>
      <c r="B54" s="53"/>
      <c r="C54" s="53"/>
      <c r="D54" s="80">
        <f>SUM(D17:D52)</f>
        <v>15768049</v>
      </c>
      <c r="E54" s="80">
        <f>SUM(E17:E52)</f>
        <v>10716054</v>
      </c>
      <c r="F54" s="96">
        <f>SUM(F17:F52)</f>
        <v>10013554</v>
      </c>
      <c r="G54" s="80">
        <f>SUM(G17:G52)</f>
        <v>7705086.590000001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>
      <c r="A55" s="53"/>
      <c r="B55" s="53"/>
      <c r="C55" s="53"/>
      <c r="D55" s="80"/>
      <c r="E55" s="80"/>
      <c r="F55" s="90"/>
      <c r="G55" s="80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>
      <c r="A56" s="53"/>
      <c r="B56" s="53"/>
      <c r="C56" s="53"/>
      <c r="D56" s="83"/>
      <c r="E56" s="54"/>
      <c r="F56" s="92"/>
      <c r="G56" s="76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">
      <c r="A57" s="20"/>
      <c r="B57" s="20"/>
      <c r="C57" s="20"/>
      <c r="D57" s="84">
        <f>D13-D54</f>
        <v>-5301692.670714295</v>
      </c>
      <c r="E57" s="84">
        <f>D13-E54</f>
        <v>-249697.67071429454</v>
      </c>
      <c r="F57" s="97">
        <f>D13-F54</f>
        <v>452802.32928570546</v>
      </c>
      <c r="G57" s="84">
        <f>D13-G54</f>
        <v>2761269.7392857047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8:17" ht="15">
      <c r="H58" s="53"/>
      <c r="I58" s="101"/>
      <c r="J58" s="53"/>
      <c r="K58" s="53"/>
      <c r="L58" s="53"/>
      <c r="M58" s="53"/>
      <c r="N58" s="53"/>
      <c r="O58" s="53"/>
      <c r="P58" s="53"/>
      <c r="Q58" s="53"/>
    </row>
    <row r="59" spans="8:17" ht="15"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8:17" ht="15"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20" customFormat="1" ht="13.5" customHeight="1">
      <c r="A61"/>
      <c r="B61"/>
      <c r="C61"/>
      <c r="D61"/>
      <c r="E61"/>
      <c r="F61" s="95"/>
      <c r="G61"/>
      <c r="H61" s="53"/>
      <c r="I61" s="53"/>
      <c r="J61" s="53"/>
      <c r="K61" s="53"/>
      <c r="L61" s="53"/>
      <c r="M61" s="53"/>
      <c r="N61" s="53"/>
      <c r="O61" s="53"/>
      <c r="P61" s="53"/>
      <c r="Q61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1"/>
  <sheetViews>
    <sheetView zoomScale="70" zoomScaleNormal="70" zoomScalePageLayoutView="0" workbookViewId="0" topLeftCell="A1">
      <selection activeCell="E58" sqref="E58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579</v>
      </c>
    </row>
    <row r="3" ht="15">
      <c r="B3" s="20" t="s">
        <v>631</v>
      </c>
    </row>
    <row r="4" ht="15">
      <c r="B4" s="20" t="s">
        <v>609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9177000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2000</v>
      </c>
      <c r="E7" s="10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D7-5</f>
        <v>1995</v>
      </c>
      <c r="E8" s="110"/>
      <c r="F8" s="11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4600</v>
      </c>
      <c r="E9" s="111"/>
      <c r="F9" s="11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-983250.0000000009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'SPRING 2017'!G57</f>
        <v>2761269.7392857047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10955019.739285704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COUNTIF(A17:A52,"S")</f>
        <v>5</v>
      </c>
      <c r="K15" s="58">
        <f>SUMIF($A$17:$A$52,"S",$D$17:$D$46)</f>
        <v>2015100</v>
      </c>
      <c r="L15" s="30">
        <f>K15/$K$20</f>
        <v>0.20072116581833394</v>
      </c>
      <c r="M15" s="58">
        <f>SUMIF($A$17:$A$52,"S",$F$17:$F$46)</f>
        <v>1255100</v>
      </c>
      <c r="N15" s="30">
        <f>M15/$M$20</f>
        <v>0.18036285252380096</v>
      </c>
      <c r="O15" s="58">
        <f>SUMIF($A$17:$A$52,"S",$G$17:$G$46)</f>
        <v>1149863</v>
      </c>
      <c r="P15" s="30">
        <f>O15/$O$20</f>
        <v>0.22190166198364927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COUNTIF($A$17:$A$52,"I")</f>
        <v>0</v>
      </c>
      <c r="K16" s="58">
        <f>SUMIF($A$17:$A$52,"I",$D$17:$D$46)</f>
        <v>0</v>
      </c>
      <c r="L16" s="71">
        <f>K16/$K$20</f>
        <v>0</v>
      </c>
      <c r="M16" s="58">
        <f>SUMIF($A$17:$A$52,"I",$F$17:$F$46)</f>
        <v>0</v>
      </c>
      <c r="N16" s="71">
        <f>M16/$M$20</f>
        <v>0</v>
      </c>
      <c r="O16" s="58">
        <f>SUMIF($A$17:$A$52,"I",$G$17:$G$46)</f>
        <v>0</v>
      </c>
      <c r="P16" s="71">
        <f>O16/$O$20</f>
        <v>0</v>
      </c>
      <c r="Q16" s="72">
        <v>0.1</v>
      </c>
    </row>
    <row r="17" spans="1:18" ht="15">
      <c r="A17" s="100" t="s">
        <v>111</v>
      </c>
      <c r="B17" s="54" t="s">
        <v>580</v>
      </c>
      <c r="C17" s="61"/>
      <c r="D17" s="82">
        <v>707000</v>
      </c>
      <c r="E17" s="81">
        <v>707000</v>
      </c>
      <c r="F17" s="76">
        <v>620000</v>
      </c>
      <c r="G17" s="112">
        <v>620000</v>
      </c>
      <c r="H17" s="70" t="s">
        <v>109</v>
      </c>
      <c r="I17" s="56" t="s">
        <v>117</v>
      </c>
      <c r="J17" s="53">
        <f>COUNTIF(A17:A52,"E")</f>
        <v>10</v>
      </c>
      <c r="K17" s="58">
        <f>SUMIF($A$17:$A$52,"E",$D$17:$D$46)</f>
        <v>3145800</v>
      </c>
      <c r="L17" s="71">
        <f>K17/$K$20</f>
        <v>0.3133485402368691</v>
      </c>
      <c r="M17" s="58">
        <f>SUMIF($A$17:$A$52,"E",$F$17:$F$46)</f>
        <v>2839700</v>
      </c>
      <c r="N17" s="71">
        <f>M17/$M$20</f>
        <v>0.40807616310400574</v>
      </c>
      <c r="O17" s="58">
        <f>SUMIF($A$17:$A$52,"E",$G$17:$G$46)</f>
        <v>2644743</v>
      </c>
      <c r="P17" s="71">
        <f>O17/$O$20</f>
        <v>0.5103850347559862</v>
      </c>
      <c r="Q17" s="72">
        <v>0.3</v>
      </c>
      <c r="R17" s="52">
        <f>P17-Q17</f>
        <v>0.2103850347559862</v>
      </c>
    </row>
    <row r="18" spans="1:17" ht="15.75">
      <c r="A18" s="100" t="s">
        <v>109</v>
      </c>
      <c r="B18" s="54" t="s">
        <v>475</v>
      </c>
      <c r="C18" s="75"/>
      <c r="D18" s="76">
        <v>1000000</v>
      </c>
      <c r="E18" s="85">
        <v>1000000</v>
      </c>
      <c r="F18" s="76">
        <v>830000</v>
      </c>
      <c r="G18" s="112">
        <v>830000</v>
      </c>
      <c r="H18" s="70" t="s">
        <v>111</v>
      </c>
      <c r="I18" s="56" t="s">
        <v>118</v>
      </c>
      <c r="J18" s="53">
        <f>COUNTIF(A17:A56,"C")</f>
        <v>11</v>
      </c>
      <c r="K18" s="58">
        <f>SUMIF($A$17:$A$52,"C",$D$17:$D$46)</f>
        <v>4024200</v>
      </c>
      <c r="L18" s="71">
        <f>K18/$K$20</f>
        <v>0.4008446804060044</v>
      </c>
      <c r="M18" s="58">
        <f>SUMIF($A$17:$A$52,"C",$F$17:$F$46)</f>
        <v>2803950</v>
      </c>
      <c r="N18" s="71">
        <f>M18/$M$20</f>
        <v>0.4029387461828633</v>
      </c>
      <c r="O18" s="58">
        <f>SUMIF($A$17:$A$52,"C",$G$17:$G$46)</f>
        <v>1327252.44</v>
      </c>
      <c r="P18" s="71">
        <f>O18/$O$20</f>
        <v>0.2561344458495088</v>
      </c>
      <c r="Q18" s="72">
        <v>0.3</v>
      </c>
    </row>
    <row r="19" spans="1:17" ht="15.75">
      <c r="A19" s="100" t="s">
        <v>109</v>
      </c>
      <c r="B19" s="54" t="s">
        <v>581</v>
      </c>
      <c r="C19" s="75"/>
      <c r="D19" s="76">
        <v>1019500</v>
      </c>
      <c r="E19" s="85">
        <v>1019500</v>
      </c>
      <c r="F19" s="76">
        <v>920000</v>
      </c>
      <c r="G19" s="112">
        <v>788240</v>
      </c>
      <c r="H19" s="70" t="s">
        <v>113</v>
      </c>
      <c r="I19" s="56" t="s">
        <v>125</v>
      </c>
      <c r="J19" s="53">
        <f>COUNTIF(A17:A52,"M")</f>
        <v>4</v>
      </c>
      <c r="K19" s="58">
        <f>SUMIF($A$17:$A$52,"M",$D$17:$D$46)</f>
        <v>854200</v>
      </c>
      <c r="L19" s="71">
        <f>K19/$K$20</f>
        <v>0.08508561353879254</v>
      </c>
      <c r="M19" s="58">
        <f>SUMIF($A$17:$A$52,"M",$F$17:$F$46)</f>
        <v>60000</v>
      </c>
      <c r="N19" s="71">
        <f>M19/$M$20</f>
        <v>0.00862223818932998</v>
      </c>
      <c r="O19" s="58">
        <f>SUMIF($A$17:$A$52,"M",$G$17:$G$46)</f>
        <v>60000</v>
      </c>
      <c r="P19" s="71">
        <f>O19/$O$20</f>
        <v>0.011578857410855865</v>
      </c>
      <c r="Q19" s="72">
        <v>0</v>
      </c>
    </row>
    <row r="20" spans="1:17" ht="15.75">
      <c r="A20" s="100" t="s">
        <v>111</v>
      </c>
      <c r="B20" s="54" t="s">
        <v>582</v>
      </c>
      <c r="C20" s="75"/>
      <c r="D20" s="76">
        <v>1000000</v>
      </c>
      <c r="E20" s="85">
        <v>1000000</v>
      </c>
      <c r="F20" s="76">
        <v>895000</v>
      </c>
      <c r="G20" s="112"/>
      <c r="H20" s="53"/>
      <c r="I20" s="77" t="s">
        <v>124</v>
      </c>
      <c r="J20" s="78">
        <f>SUM(J15:J19)</f>
        <v>30</v>
      </c>
      <c r="K20" s="78">
        <f>SUM(K15:K19)</f>
        <v>10039300</v>
      </c>
      <c r="L20" s="78"/>
      <c r="M20" s="78">
        <f>SUM(M15:M19)</f>
        <v>6958750</v>
      </c>
      <c r="N20" s="78"/>
      <c r="O20" s="78">
        <f>SUM(O15:O19)</f>
        <v>5181858.4399999995</v>
      </c>
      <c r="P20" s="53"/>
      <c r="Q20" s="72"/>
    </row>
    <row r="21" spans="1:17" ht="15.75">
      <c r="A21" s="100" t="s">
        <v>111</v>
      </c>
      <c r="B21" s="54" t="s">
        <v>558</v>
      </c>
      <c r="C21" s="75"/>
      <c r="D21" s="76">
        <v>999750</v>
      </c>
      <c r="E21" s="85">
        <v>999750</v>
      </c>
      <c r="F21" s="76">
        <v>553000</v>
      </c>
      <c r="G21" s="112"/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112</v>
      </c>
      <c r="B22" s="54" t="s">
        <v>583</v>
      </c>
      <c r="C22" s="75"/>
      <c r="D22" s="76">
        <v>281000</v>
      </c>
      <c r="E22" s="85">
        <v>281000</v>
      </c>
      <c r="F22" s="76">
        <v>171000</v>
      </c>
      <c r="G22" s="112">
        <v>115800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112</v>
      </c>
      <c r="B23" s="54" t="s">
        <v>584</v>
      </c>
      <c r="C23" s="75"/>
      <c r="D23" s="76">
        <v>138100</v>
      </c>
      <c r="E23" s="85">
        <v>138100</v>
      </c>
      <c r="F23" s="76">
        <v>138100</v>
      </c>
      <c r="G23" s="112">
        <v>115063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112</v>
      </c>
      <c r="B24" s="54" t="s">
        <v>585</v>
      </c>
      <c r="C24" s="75"/>
      <c r="D24" s="76">
        <v>450000</v>
      </c>
      <c r="E24" s="85">
        <v>450000</v>
      </c>
      <c r="F24" s="76">
        <v>0</v>
      </c>
      <c r="G24" s="112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111</v>
      </c>
      <c r="B25" s="54" t="s">
        <v>586</v>
      </c>
      <c r="C25" s="75"/>
      <c r="D25" s="76">
        <v>400000</v>
      </c>
      <c r="E25" s="85">
        <v>400000</v>
      </c>
      <c r="F25" s="76">
        <v>0</v>
      </c>
      <c r="G25" s="112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113</v>
      </c>
      <c r="B26" s="54" t="s">
        <v>587</v>
      </c>
      <c r="C26" s="75"/>
      <c r="D26" s="76">
        <v>200200</v>
      </c>
      <c r="E26" s="85">
        <v>200200</v>
      </c>
      <c r="F26" s="76">
        <v>0</v>
      </c>
      <c r="G26" s="112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109</v>
      </c>
      <c r="B27" s="54" t="s">
        <v>588</v>
      </c>
      <c r="C27" s="75"/>
      <c r="D27" s="76">
        <v>210600</v>
      </c>
      <c r="E27" s="85">
        <v>210600</v>
      </c>
      <c r="F27" s="76">
        <v>190000</v>
      </c>
      <c r="G27" s="112">
        <v>175457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109</v>
      </c>
      <c r="B28" s="54" t="s">
        <v>589</v>
      </c>
      <c r="C28" s="75"/>
      <c r="D28" s="76">
        <v>39500</v>
      </c>
      <c r="E28" s="76">
        <v>39500</v>
      </c>
      <c r="F28" s="76">
        <v>39500</v>
      </c>
      <c r="G28" s="112">
        <v>24000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109</v>
      </c>
      <c r="B29" s="54" t="s">
        <v>590</v>
      </c>
      <c r="C29" s="75"/>
      <c r="D29" s="76">
        <v>21000</v>
      </c>
      <c r="E29" s="76">
        <v>21000</v>
      </c>
      <c r="F29" s="76">
        <v>21000</v>
      </c>
      <c r="G29" s="112">
        <v>21000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109</v>
      </c>
      <c r="B30" s="54" t="s">
        <v>591</v>
      </c>
      <c r="C30" s="75"/>
      <c r="D30" s="76">
        <v>148200</v>
      </c>
      <c r="E30" s="76">
        <v>148200</v>
      </c>
      <c r="F30" s="76">
        <v>148200</v>
      </c>
      <c r="G30" s="112">
        <v>147500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113</v>
      </c>
      <c r="B31" s="54" t="s">
        <v>592</v>
      </c>
      <c r="C31" s="75"/>
      <c r="D31" s="76">
        <v>120000</v>
      </c>
      <c r="E31" s="76">
        <v>120000</v>
      </c>
      <c r="F31" s="76">
        <v>60000</v>
      </c>
      <c r="G31" s="112">
        <v>60000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113</v>
      </c>
      <c r="B32" s="54" t="s">
        <v>593</v>
      </c>
      <c r="C32" s="75"/>
      <c r="D32" s="76">
        <v>104000</v>
      </c>
      <c r="E32" s="76">
        <v>104000</v>
      </c>
      <c r="F32" s="76">
        <v>0</v>
      </c>
      <c r="G32" s="112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111</v>
      </c>
      <c r="B33" s="54" t="s">
        <v>594</v>
      </c>
      <c r="C33" s="75"/>
      <c r="D33" s="76">
        <v>43000</v>
      </c>
      <c r="E33" s="76">
        <v>43000</v>
      </c>
      <c r="F33" s="76">
        <v>43000</v>
      </c>
      <c r="G33" s="112">
        <v>23716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113</v>
      </c>
      <c r="B34" s="54" t="s">
        <v>595</v>
      </c>
      <c r="C34" s="75"/>
      <c r="D34" s="76">
        <v>430000</v>
      </c>
      <c r="E34" s="76">
        <v>430000</v>
      </c>
      <c r="F34" s="76">
        <v>0</v>
      </c>
      <c r="G34" s="112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111</v>
      </c>
      <c r="B35" s="54" t="s">
        <v>596</v>
      </c>
      <c r="C35" s="75"/>
      <c r="D35" s="76">
        <v>91250</v>
      </c>
      <c r="E35" s="76">
        <v>91250</v>
      </c>
      <c r="F35" s="76">
        <v>41250</v>
      </c>
      <c r="G35" s="112">
        <v>40545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111</v>
      </c>
      <c r="B36" s="54" t="s">
        <v>597</v>
      </c>
      <c r="C36" s="75"/>
      <c r="D36" s="76">
        <v>377500</v>
      </c>
      <c r="E36" s="76">
        <v>377500</v>
      </c>
      <c r="F36" s="76">
        <v>262500</v>
      </c>
      <c r="G36" s="112">
        <v>261720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109</v>
      </c>
      <c r="B37" s="54" t="s">
        <v>598</v>
      </c>
      <c r="C37" s="75"/>
      <c r="D37" s="76">
        <v>129000</v>
      </c>
      <c r="E37" s="76">
        <v>129000</v>
      </c>
      <c r="F37" s="76">
        <v>129000</v>
      </c>
      <c r="G37" s="112">
        <v>128546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111</v>
      </c>
      <c r="B38" s="54" t="s">
        <v>599</v>
      </c>
      <c r="C38" s="75"/>
      <c r="D38" s="76">
        <v>16500</v>
      </c>
      <c r="E38" s="76">
        <v>16500</v>
      </c>
      <c r="F38" s="76">
        <v>0</v>
      </c>
      <c r="G38" s="112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111</v>
      </c>
      <c r="B39" s="54" t="s">
        <v>600</v>
      </c>
      <c r="C39" s="75"/>
      <c r="D39" s="76">
        <v>91000</v>
      </c>
      <c r="E39" s="76">
        <v>91000</v>
      </c>
      <c r="F39" s="76">
        <v>91000</v>
      </c>
      <c r="G39" s="112">
        <v>88638.44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111</v>
      </c>
      <c r="B40" s="54" t="s">
        <v>601</v>
      </c>
      <c r="C40" s="75"/>
      <c r="D40" s="76">
        <v>100500</v>
      </c>
      <c r="E40" s="76">
        <v>100500</v>
      </c>
      <c r="F40" s="76">
        <v>100500</v>
      </c>
      <c r="G40" s="112">
        <v>95670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109</v>
      </c>
      <c r="B41" s="54" t="s">
        <v>602</v>
      </c>
      <c r="C41" s="75"/>
      <c r="D41" s="76">
        <v>29000</v>
      </c>
      <c r="E41" s="76">
        <v>29000</v>
      </c>
      <c r="F41" s="76">
        <v>29000</v>
      </c>
      <c r="G41" s="112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112</v>
      </c>
      <c r="B42" s="54" t="s">
        <v>603</v>
      </c>
      <c r="C42" s="75"/>
      <c r="D42" s="76">
        <v>246000</v>
      </c>
      <c r="E42" s="76">
        <v>246000</v>
      </c>
      <c r="F42" s="76">
        <v>246000</v>
      </c>
      <c r="G42" s="112">
        <v>219000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112</v>
      </c>
      <c r="B43" s="54" t="s">
        <v>604</v>
      </c>
      <c r="C43" s="75"/>
      <c r="D43" s="76">
        <v>900000</v>
      </c>
      <c r="E43" s="76">
        <v>900000</v>
      </c>
      <c r="F43" s="76">
        <v>700000</v>
      </c>
      <c r="G43" s="112">
        <v>700000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100" t="s">
        <v>111</v>
      </c>
      <c r="B44" s="54" t="s">
        <v>605</v>
      </c>
      <c r="C44" s="75"/>
      <c r="D44" s="76">
        <v>197700</v>
      </c>
      <c r="E44" s="76">
        <v>197700</v>
      </c>
      <c r="F44" s="76">
        <v>197700</v>
      </c>
      <c r="G44" s="112">
        <v>196963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 t="s">
        <v>109</v>
      </c>
      <c r="B45" s="54" t="s">
        <v>606</v>
      </c>
      <c r="C45" s="75"/>
      <c r="D45" s="76">
        <v>49000</v>
      </c>
      <c r="E45" s="76">
        <v>49000</v>
      </c>
      <c r="F45" s="76">
        <v>33000</v>
      </c>
      <c r="G45" s="112">
        <v>33000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100" t="s">
        <v>109</v>
      </c>
      <c r="B46" s="54" t="s">
        <v>607</v>
      </c>
      <c r="C46" s="75"/>
      <c r="D46" s="76">
        <v>500000</v>
      </c>
      <c r="E46" s="76">
        <v>500000</v>
      </c>
      <c r="F46" s="76">
        <v>500000</v>
      </c>
      <c r="G46" s="112">
        <v>497000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100"/>
      <c r="B47" s="75"/>
      <c r="C47" s="53"/>
      <c r="D47" s="76"/>
      <c r="E47" s="53"/>
      <c r="F47" s="9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">
      <c r="A48" s="100"/>
      <c r="B48" s="53"/>
      <c r="C48" s="53"/>
      <c r="D48" s="80">
        <f>SUM(D17:D46)</f>
        <v>10039300</v>
      </c>
      <c r="E48" s="80">
        <f>SUM(E17:E46)</f>
        <v>10039300</v>
      </c>
      <c r="F48" s="96">
        <f>SUM(F17:F46)</f>
        <v>6958750</v>
      </c>
      <c r="G48" s="80">
        <f>SUM(G17:G46)</f>
        <v>5181858.4399999995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100"/>
      <c r="B49" s="53"/>
      <c r="C49" s="53"/>
      <c r="D49" s="80"/>
      <c r="E49" s="80"/>
      <c r="F49" s="90"/>
      <c r="G49" s="80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100"/>
      <c r="B50" s="53"/>
      <c r="C50" s="53"/>
      <c r="D50" s="83"/>
      <c r="E50" s="54"/>
      <c r="F50" s="92"/>
      <c r="G50" s="76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">
      <c r="A51" s="100"/>
      <c r="B51" s="20"/>
      <c r="C51" s="20"/>
      <c r="D51" s="84">
        <f>D13-D48</f>
        <v>915719.7392857037</v>
      </c>
      <c r="E51" s="84">
        <f>D13-E48</f>
        <v>915719.7392857037</v>
      </c>
      <c r="F51" s="97">
        <f>D13-F48</f>
        <v>3996269.7392857037</v>
      </c>
      <c r="G51" s="84">
        <f>D13-G48</f>
        <v>5773161.299285704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">
      <c r="A52" s="100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">
      <c r="A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">
      <c r="A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">
      <c r="A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">
      <c r="A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">
      <c r="A57" s="20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8:17" ht="15">
      <c r="H58" s="53"/>
      <c r="I58" s="101"/>
      <c r="J58" s="53"/>
      <c r="K58" s="53"/>
      <c r="L58" s="53"/>
      <c r="M58" s="53"/>
      <c r="N58" s="53"/>
      <c r="O58" s="53"/>
      <c r="P58" s="53"/>
      <c r="Q58" s="53"/>
    </row>
    <row r="59" spans="8:17" ht="15"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8:17" ht="15"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20" customFormat="1" ht="13.5" customHeight="1">
      <c r="A61"/>
      <c r="B61"/>
      <c r="C61"/>
      <c r="D61"/>
      <c r="E61"/>
      <c r="F61" s="95"/>
      <c r="G61"/>
      <c r="H61" s="53"/>
      <c r="I61" s="53"/>
      <c r="J61" s="53"/>
      <c r="K61" s="53"/>
      <c r="L61" s="53"/>
      <c r="M61" s="53"/>
      <c r="N61" s="53"/>
      <c r="O61" s="53"/>
      <c r="P61" s="53"/>
      <c r="Q61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="70" zoomScaleNormal="70" zoomScalePageLayoutView="0" workbookViewId="0" topLeftCell="A1">
      <selection activeCell="B15" sqref="B15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608</v>
      </c>
    </row>
    <row r="3" ht="15">
      <c r="B3" s="20" t="s">
        <v>653</v>
      </c>
    </row>
    <row r="4" ht="15">
      <c r="B4" s="20" t="s">
        <v>671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8514600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1860</v>
      </c>
      <c r="E7" s="10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D7-9</f>
        <v>1851</v>
      </c>
      <c r="E8" s="110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4600</v>
      </c>
      <c r="E9" s="111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-912278.5714285718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'FALL 2017'!G51</f>
        <v>5773161.299285704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13375482.727857132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COUNTIF(A17:A58,"S")</f>
        <v>6</v>
      </c>
      <c r="K15" s="58">
        <f>SUMIF($A$17:$A$58,"S",$D$17:$D$42)</f>
        <v>4043878</v>
      </c>
      <c r="L15" s="30">
        <f>K15/$K$20</f>
        <v>0.26009279238231864</v>
      </c>
      <c r="M15" s="58">
        <f>SUMIF($A$17:$A$58,"S",$F$17:$F$42)</f>
        <v>2800737</v>
      </c>
      <c r="N15" s="30">
        <f>M15/$M$20</f>
        <v>0.2621662507276709</v>
      </c>
      <c r="O15" s="58">
        <f>SUMIF($A$17:$A$58,"S",$G$17:$G$42)</f>
        <v>2536461</v>
      </c>
      <c r="P15" s="30">
        <f>O15/$O$20</f>
        <v>0.3529269840377569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COUNTIF($A$17:$A$58,"I")</f>
        <v>5</v>
      </c>
      <c r="K16" s="58">
        <f>SUMIF($A$17:$A$58,"I",$D$17:$D$42)</f>
        <v>913600</v>
      </c>
      <c r="L16" s="71">
        <f>K16/$K$20</f>
        <v>0.058760619168156475</v>
      </c>
      <c r="M16" s="58">
        <f>SUMIF($A$17:$A$58,"I",$F$17:$F$42)</f>
        <v>818600</v>
      </c>
      <c r="N16" s="71">
        <f>M16/$M$20</f>
        <v>0.076626006956623</v>
      </c>
      <c r="O16" s="58">
        <f>SUMIF($A$17:$A$58,"I",$G$17:$G$42)</f>
        <v>659231</v>
      </c>
      <c r="P16" s="71">
        <f>O16/$O$20</f>
        <v>0.09172638909653826</v>
      </c>
      <c r="Q16" s="72">
        <v>0.1</v>
      </c>
    </row>
    <row r="17" spans="1:17" ht="15">
      <c r="A17" s="100" t="s">
        <v>111</v>
      </c>
      <c r="B17" s="54" t="s">
        <v>612</v>
      </c>
      <c r="C17" s="61"/>
      <c r="D17" s="82">
        <v>800000</v>
      </c>
      <c r="E17" s="81">
        <v>800000</v>
      </c>
      <c r="F17" s="76">
        <v>680500</v>
      </c>
      <c r="G17" s="112">
        <v>551925</v>
      </c>
      <c r="H17" s="70" t="s">
        <v>109</v>
      </c>
      <c r="I17" s="56" t="s">
        <v>117</v>
      </c>
      <c r="J17" s="53">
        <f>COUNTIF(A17:A58,"E")</f>
        <v>13</v>
      </c>
      <c r="K17" s="58">
        <f>SUMIF($A$17:$A$58,"E",$D$17:$D$42)</f>
        <v>7473680</v>
      </c>
      <c r="L17" s="71">
        <f>K17/$K$20</f>
        <v>0.48068965002700054</v>
      </c>
      <c r="M17" s="58">
        <f>SUMIF($A$17:$A$58,"E",$F$17:$F$42)</f>
        <v>4377650</v>
      </c>
      <c r="N17" s="71">
        <f>M17/$M$20</f>
        <v>0.4097750297503795</v>
      </c>
      <c r="O17" s="58">
        <f>SUMIF($A$17:$A$58,"E",$G$17:$G$42)</f>
        <v>2911326.5</v>
      </c>
      <c r="P17" s="71">
        <f>O17/$O$20</f>
        <v>0.4050863313862104</v>
      </c>
      <c r="Q17" s="72">
        <v>0.3</v>
      </c>
    </row>
    <row r="18" spans="1:17" ht="15.75">
      <c r="A18" s="100" t="s">
        <v>109</v>
      </c>
      <c r="B18" s="54" t="s">
        <v>613</v>
      </c>
      <c r="C18" s="75"/>
      <c r="D18" s="76">
        <v>759800</v>
      </c>
      <c r="E18" s="85">
        <v>759800</v>
      </c>
      <c r="F18" s="76">
        <v>715800</v>
      </c>
      <c r="G18" s="112">
        <v>701220</v>
      </c>
      <c r="H18" s="70" t="s">
        <v>111</v>
      </c>
      <c r="I18" s="56" t="s">
        <v>118</v>
      </c>
      <c r="J18" s="53">
        <f>COUNTIF(A17:A62,"C")</f>
        <v>9</v>
      </c>
      <c r="K18" s="58">
        <f>SUMIF($A$17:$A$58,"C",$D$17:$D$42)</f>
        <v>2951470</v>
      </c>
      <c r="L18" s="71">
        <f>K18/$K$20</f>
        <v>0.18983166008782706</v>
      </c>
      <c r="M18" s="58">
        <f>SUMIF($A$17:$A$58,"C",$F$17:$F$42)</f>
        <v>2520870</v>
      </c>
      <c r="N18" s="71">
        <f>M18/$M$20</f>
        <v>0.23596897404928197</v>
      </c>
      <c r="O18" s="58">
        <f>SUMIF($A$17:$A$58,"C",$G$17:$G$42)</f>
        <v>922592</v>
      </c>
      <c r="P18" s="71">
        <f>O18/$O$20</f>
        <v>0.12837083324260148</v>
      </c>
      <c r="Q18" s="72">
        <v>0.3</v>
      </c>
    </row>
    <row r="19" spans="1:17" ht="15.75">
      <c r="A19" s="100" t="s">
        <v>109</v>
      </c>
      <c r="B19" s="54" t="s">
        <v>614</v>
      </c>
      <c r="C19" s="75"/>
      <c r="D19" s="76">
        <v>1200000</v>
      </c>
      <c r="E19" s="85">
        <v>1200000</v>
      </c>
      <c r="F19" s="76">
        <v>1000000</v>
      </c>
      <c r="G19" s="112">
        <v>1000000</v>
      </c>
      <c r="H19" s="70" t="s">
        <v>113</v>
      </c>
      <c r="I19" s="56" t="s">
        <v>125</v>
      </c>
      <c r="J19" s="53">
        <f>COUNTIF(A17:A58,"M")</f>
        <v>3</v>
      </c>
      <c r="K19" s="58">
        <f>SUMIF($A$17:$A$58,"M",$D$17:$D$42)</f>
        <v>165200</v>
      </c>
      <c r="L19" s="71">
        <f>K19/$K$20</f>
        <v>0.010625278334697296</v>
      </c>
      <c r="M19" s="58">
        <f>SUMIF($A$17:$A$58,"M",$F$17:$F$42)</f>
        <v>165200</v>
      </c>
      <c r="N19" s="71">
        <f>M19/$M$20</f>
        <v>0.015463738516044611</v>
      </c>
      <c r="O19" s="58">
        <f>SUMIF($A$17:$A$58,"M",$G$17:$G$42)</f>
        <v>157318</v>
      </c>
      <c r="P19" s="71">
        <f>O19/$O$20</f>
        <v>0.021889462236892993</v>
      </c>
      <c r="Q19" s="72">
        <v>0</v>
      </c>
    </row>
    <row r="20" spans="1:17" ht="15.75">
      <c r="A20" s="100" t="s">
        <v>109</v>
      </c>
      <c r="B20" s="54" t="s">
        <v>582</v>
      </c>
      <c r="C20" s="75"/>
      <c r="D20" s="76">
        <v>995000</v>
      </c>
      <c r="E20" s="85">
        <v>995000</v>
      </c>
      <c r="F20" s="76">
        <v>950000</v>
      </c>
      <c r="G20" s="112">
        <v>830900</v>
      </c>
      <c r="H20" s="53"/>
      <c r="I20" s="77" t="s">
        <v>124</v>
      </c>
      <c r="J20" s="78">
        <f>SUM(J15:J19)</f>
        <v>36</v>
      </c>
      <c r="K20" s="78">
        <f>SUM(K15:K19)</f>
        <v>15547828</v>
      </c>
      <c r="L20" s="78"/>
      <c r="M20" s="78">
        <f>SUM(M15:M19)</f>
        <v>10683057</v>
      </c>
      <c r="N20" s="78"/>
      <c r="O20" s="78">
        <f>SUM(O15:O19)</f>
        <v>7186928.5</v>
      </c>
      <c r="P20" s="53"/>
      <c r="Q20" s="72"/>
    </row>
    <row r="21" spans="1:17" ht="15.75">
      <c r="A21" s="100" t="s">
        <v>111</v>
      </c>
      <c r="B21" s="54" t="s">
        <v>615</v>
      </c>
      <c r="C21" s="75"/>
      <c r="D21" s="76">
        <v>1000000</v>
      </c>
      <c r="E21" s="85">
        <v>1000000</v>
      </c>
      <c r="F21" s="76">
        <v>1000000</v>
      </c>
      <c r="G21" s="112"/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112</v>
      </c>
      <c r="B22" s="54" t="s">
        <v>464</v>
      </c>
      <c r="C22" s="75"/>
      <c r="D22" s="76">
        <v>2168000</v>
      </c>
      <c r="E22" s="85">
        <v>2168000</v>
      </c>
      <c r="F22" s="76">
        <v>2000000</v>
      </c>
      <c r="G22" s="112">
        <v>1990600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112</v>
      </c>
      <c r="B23" s="54" t="s">
        <v>616</v>
      </c>
      <c r="C23" s="75"/>
      <c r="D23" s="76">
        <v>918000</v>
      </c>
      <c r="E23" s="85">
        <v>918000</v>
      </c>
      <c r="F23" s="76">
        <v>0</v>
      </c>
      <c r="G23" s="112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110</v>
      </c>
      <c r="B24" s="54" t="s">
        <v>548</v>
      </c>
      <c r="C24" s="75"/>
      <c r="D24" s="76">
        <v>281800</v>
      </c>
      <c r="E24" s="85">
        <v>281800</v>
      </c>
      <c r="F24" s="76">
        <v>243800</v>
      </c>
      <c r="G24" s="112">
        <v>242000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112</v>
      </c>
      <c r="B25" s="54" t="s">
        <v>617</v>
      </c>
      <c r="C25" s="75"/>
      <c r="D25" s="76">
        <v>180200</v>
      </c>
      <c r="E25" s="85">
        <v>180200</v>
      </c>
      <c r="F25" s="76">
        <v>143400</v>
      </c>
      <c r="G25" s="112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110</v>
      </c>
      <c r="B26" s="54" t="s">
        <v>618</v>
      </c>
      <c r="C26" s="75"/>
      <c r="D26" s="76">
        <v>72000</v>
      </c>
      <c r="E26" s="85">
        <v>72000</v>
      </c>
      <c r="F26" s="76">
        <v>55000</v>
      </c>
      <c r="G26" s="112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110</v>
      </c>
      <c r="B27" s="54" t="s">
        <v>619</v>
      </c>
      <c r="C27" s="75"/>
      <c r="D27" s="76">
        <v>180000</v>
      </c>
      <c r="E27" s="85">
        <v>180000</v>
      </c>
      <c r="F27" s="76">
        <v>140000</v>
      </c>
      <c r="G27" s="112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110</v>
      </c>
      <c r="B28" s="54" t="s">
        <v>498</v>
      </c>
      <c r="C28" s="75"/>
      <c r="D28" s="76">
        <v>335000</v>
      </c>
      <c r="E28" s="76">
        <v>335000</v>
      </c>
      <c r="F28" s="76">
        <v>335000</v>
      </c>
      <c r="G28" s="112">
        <v>376856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111</v>
      </c>
      <c r="B29" s="54" t="s">
        <v>620</v>
      </c>
      <c r="C29" s="75"/>
      <c r="D29" s="76">
        <v>162200</v>
      </c>
      <c r="E29" s="76">
        <v>162200</v>
      </c>
      <c r="F29" s="76">
        <v>85000</v>
      </c>
      <c r="G29" s="112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112</v>
      </c>
      <c r="B30" s="54" t="s">
        <v>621</v>
      </c>
      <c r="C30" s="75"/>
      <c r="D30" s="76">
        <v>103491</v>
      </c>
      <c r="E30" s="76">
        <v>103491</v>
      </c>
      <c r="F30" s="76">
        <v>68100</v>
      </c>
      <c r="G30" s="112">
        <v>68100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111</v>
      </c>
      <c r="B31" s="54" t="s">
        <v>622</v>
      </c>
      <c r="C31" s="75"/>
      <c r="D31" s="76">
        <v>115000</v>
      </c>
      <c r="E31" s="76">
        <v>115000</v>
      </c>
      <c r="F31" s="76">
        <v>100000</v>
      </c>
      <c r="G31" s="112">
        <v>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111</v>
      </c>
      <c r="B32" s="54" t="s">
        <v>623</v>
      </c>
      <c r="C32" s="75"/>
      <c r="D32" s="76">
        <v>408700</v>
      </c>
      <c r="E32" s="76">
        <v>408700</v>
      </c>
      <c r="F32" s="76">
        <v>272300</v>
      </c>
      <c r="G32" s="112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109</v>
      </c>
      <c r="B33" s="54" t="s">
        <v>624</v>
      </c>
      <c r="C33" s="75"/>
      <c r="D33" s="76">
        <v>296650</v>
      </c>
      <c r="E33" s="76">
        <v>296650</v>
      </c>
      <c r="F33" s="76">
        <v>107850</v>
      </c>
      <c r="G33" s="112">
        <v>106710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 t="s">
        <v>111</v>
      </c>
      <c r="B34" s="54" t="s">
        <v>625</v>
      </c>
      <c r="C34" s="75"/>
      <c r="D34" s="76">
        <v>68070</v>
      </c>
      <c r="E34" s="76">
        <v>68070</v>
      </c>
      <c r="F34" s="76">
        <v>68070</v>
      </c>
      <c r="G34" s="112">
        <v>67937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 t="s">
        <v>111</v>
      </c>
      <c r="B35" s="54" t="s">
        <v>626</v>
      </c>
      <c r="C35" s="75"/>
      <c r="D35" s="76">
        <v>221500</v>
      </c>
      <c r="E35" s="76">
        <v>221500</v>
      </c>
      <c r="F35" s="76">
        <v>160000</v>
      </c>
      <c r="G35" s="112">
        <v>160000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100" t="s">
        <v>109</v>
      </c>
      <c r="B36" s="54" t="s">
        <v>554</v>
      </c>
      <c r="C36" s="75"/>
      <c r="D36" s="76">
        <v>132700</v>
      </c>
      <c r="E36" s="76">
        <v>132700</v>
      </c>
      <c r="F36" s="76">
        <v>132700</v>
      </c>
      <c r="G36" s="112">
        <v>132534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 t="s">
        <v>111</v>
      </c>
      <c r="B37" s="54" t="s">
        <v>601</v>
      </c>
      <c r="C37" s="75"/>
      <c r="D37" s="76">
        <v>170000</v>
      </c>
      <c r="E37" s="76">
        <v>170000</v>
      </c>
      <c r="F37" s="76">
        <v>150000</v>
      </c>
      <c r="G37" s="112">
        <v>142730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 t="s">
        <v>109</v>
      </c>
      <c r="B38" s="54" t="s">
        <v>627</v>
      </c>
      <c r="C38" s="75"/>
      <c r="D38" s="76">
        <v>250000</v>
      </c>
      <c r="E38" s="76">
        <v>250000</v>
      </c>
      <c r="F38" s="76">
        <v>100000</v>
      </c>
      <c r="G38" s="112">
        <v>97672.5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.75">
      <c r="A39" s="100" t="s">
        <v>111</v>
      </c>
      <c r="B39" s="54" t="s">
        <v>628</v>
      </c>
      <c r="C39" s="75"/>
      <c r="D39" s="76">
        <v>6000</v>
      </c>
      <c r="E39" s="76">
        <v>6000</v>
      </c>
      <c r="F39" s="76">
        <v>5000</v>
      </c>
      <c r="G39" s="112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.75">
      <c r="A40" s="100" t="s">
        <v>112</v>
      </c>
      <c r="B40" s="54" t="s">
        <v>603</v>
      </c>
      <c r="C40" s="75"/>
      <c r="D40" s="76">
        <v>470000</v>
      </c>
      <c r="E40" s="76">
        <v>470000</v>
      </c>
      <c r="F40" s="76">
        <v>396000</v>
      </c>
      <c r="G40" s="112">
        <v>309500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.75">
      <c r="A41" s="100" t="s">
        <v>112</v>
      </c>
      <c r="B41" s="54" t="s">
        <v>630</v>
      </c>
      <c r="C41" s="75"/>
      <c r="D41" s="76">
        <v>204187</v>
      </c>
      <c r="E41" s="76">
        <v>204187</v>
      </c>
      <c r="F41" s="76">
        <v>193237</v>
      </c>
      <c r="G41" s="112">
        <v>168261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 t="s">
        <v>113</v>
      </c>
      <c r="B42" s="54" t="s">
        <v>629</v>
      </c>
      <c r="C42" s="75"/>
      <c r="D42" s="76">
        <v>45200</v>
      </c>
      <c r="E42" s="76">
        <v>45200</v>
      </c>
      <c r="F42" s="76">
        <v>45200</v>
      </c>
      <c r="G42" s="112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 t="s">
        <v>113</v>
      </c>
      <c r="B43" s="54" t="s">
        <v>632</v>
      </c>
      <c r="C43" s="75"/>
      <c r="D43" s="76">
        <v>120000</v>
      </c>
      <c r="E43" s="76">
        <v>120000</v>
      </c>
      <c r="F43" s="76">
        <v>120000</v>
      </c>
      <c r="G43" s="112">
        <v>120000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.75">
      <c r="A44" s="100" t="s">
        <v>109</v>
      </c>
      <c r="B44" s="54" t="s">
        <v>633</v>
      </c>
      <c r="C44" s="75"/>
      <c r="D44" s="76">
        <v>1000000</v>
      </c>
      <c r="E44" s="76">
        <v>1000000</v>
      </c>
      <c r="F44" s="76">
        <v>0</v>
      </c>
      <c r="G44" s="112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 t="s">
        <v>109</v>
      </c>
      <c r="B45" s="54" t="s">
        <v>634</v>
      </c>
      <c r="C45" s="75"/>
      <c r="D45" s="76">
        <v>12000</v>
      </c>
      <c r="E45" s="76">
        <v>12000</v>
      </c>
      <c r="F45" s="76">
        <v>12000</v>
      </c>
      <c r="G45" s="112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100" t="s">
        <v>110</v>
      </c>
      <c r="B46" s="54" t="s">
        <v>635</v>
      </c>
      <c r="C46" s="75"/>
      <c r="D46" s="76">
        <v>44800</v>
      </c>
      <c r="E46" s="76">
        <v>44800</v>
      </c>
      <c r="F46" s="76">
        <v>44800</v>
      </c>
      <c r="G46" s="112">
        <v>40375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.75">
      <c r="A47" s="100" t="s">
        <v>109</v>
      </c>
      <c r="B47" s="54" t="s">
        <v>636</v>
      </c>
      <c r="C47" s="75"/>
      <c r="D47" s="76">
        <v>676730</v>
      </c>
      <c r="E47" s="76">
        <v>676730</v>
      </c>
      <c r="F47" s="76">
        <v>340000</v>
      </c>
      <c r="G47" s="112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.75">
      <c r="A48" s="100" t="s">
        <v>109</v>
      </c>
      <c r="B48" s="54" t="s">
        <v>637</v>
      </c>
      <c r="C48" s="75"/>
      <c r="D48" s="76">
        <v>65800</v>
      </c>
      <c r="E48" s="76">
        <v>65800</v>
      </c>
      <c r="F48" s="76">
        <v>51800</v>
      </c>
      <c r="G48" s="112">
        <v>42290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100" t="s">
        <v>109</v>
      </c>
      <c r="B49" s="54" t="s">
        <v>638</v>
      </c>
      <c r="C49" s="75"/>
      <c r="D49" s="76">
        <v>1117500</v>
      </c>
      <c r="E49" s="76">
        <v>1117500</v>
      </c>
      <c r="F49" s="76">
        <v>700000</v>
      </c>
      <c r="G49" s="112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100" t="s">
        <v>113</v>
      </c>
      <c r="B50" s="54" t="s">
        <v>654</v>
      </c>
      <c r="C50" s="75"/>
      <c r="D50" s="76">
        <v>0</v>
      </c>
      <c r="E50" s="76">
        <v>0</v>
      </c>
      <c r="F50" s="76">
        <v>0</v>
      </c>
      <c r="G50" s="112">
        <v>37318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>
      <c r="A51" s="100" t="s">
        <v>109</v>
      </c>
      <c r="B51" s="54" t="s">
        <v>639</v>
      </c>
      <c r="C51" s="75"/>
      <c r="D51" s="76">
        <v>700000</v>
      </c>
      <c r="E51" s="76">
        <v>700000</v>
      </c>
      <c r="F51" s="76">
        <v>0</v>
      </c>
      <c r="G51" s="112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>
      <c r="A52" s="100" t="s">
        <v>109</v>
      </c>
      <c r="B52" s="54" t="s">
        <v>640</v>
      </c>
      <c r="C52" s="75"/>
      <c r="D52" s="76">
        <v>267500</v>
      </c>
      <c r="E52" s="76">
        <v>267500</v>
      </c>
      <c r="F52" s="76">
        <v>267500</v>
      </c>
      <c r="G52" s="112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>
      <c r="A53" s="100"/>
      <c r="B53" s="75"/>
      <c r="C53" s="53"/>
      <c r="D53" s="76"/>
      <c r="E53" s="53"/>
      <c r="F53" s="9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">
      <c r="A54" s="100"/>
      <c r="B54" s="53"/>
      <c r="C54" s="53"/>
      <c r="D54" s="80">
        <f>SUM(D17:D52)</f>
        <v>15547828</v>
      </c>
      <c r="E54" s="80">
        <f>SUM(E17:E52)</f>
        <v>15547828</v>
      </c>
      <c r="F54" s="96">
        <f>SUM(F17:F52)</f>
        <v>10683057</v>
      </c>
      <c r="G54" s="80">
        <f>SUM(G17:G52)</f>
        <v>7186928.5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>
      <c r="A55" s="100"/>
      <c r="B55" s="53"/>
      <c r="C55" s="53"/>
      <c r="D55" s="80"/>
      <c r="E55" s="80"/>
      <c r="F55" s="90"/>
      <c r="G55" s="80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>
      <c r="A56" s="100"/>
      <c r="B56" s="53"/>
      <c r="C56" s="53"/>
      <c r="D56" s="83"/>
      <c r="E56" s="54"/>
      <c r="F56" s="92"/>
      <c r="G56" s="76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">
      <c r="A57" s="100"/>
      <c r="B57" s="20"/>
      <c r="C57" s="20"/>
      <c r="D57" s="84">
        <f>D13-D54</f>
        <v>-2172345.2721428685</v>
      </c>
      <c r="E57" s="84">
        <f>D13-E54</f>
        <v>-2172345.2721428685</v>
      </c>
      <c r="F57" s="97">
        <f>D13-F54</f>
        <v>2692425.7278571315</v>
      </c>
      <c r="G57" s="84">
        <f>D13-G54</f>
        <v>6188554.2278571315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">
      <c r="A58" s="100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5">
      <c r="A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5">
      <c r="A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5">
      <c r="A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5">
      <c r="A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5">
      <c r="A63" s="20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8:17" ht="15"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8:17" ht="15"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8:17" ht="15"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8:17" ht="15"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8:17" ht="15">
      <c r="H68" s="53"/>
      <c r="I68" s="101"/>
      <c r="J68" s="53"/>
      <c r="K68" s="53"/>
      <c r="L68" s="53"/>
      <c r="M68" s="53"/>
      <c r="N68" s="53"/>
      <c r="O68" s="53"/>
      <c r="P68" s="53"/>
      <c r="Q68" s="53"/>
    </row>
    <row r="69" spans="8:17" ht="15"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8:17" ht="15"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20" customFormat="1" ht="13.5" customHeight="1">
      <c r="A71"/>
      <c r="B71"/>
      <c r="C71"/>
      <c r="D71"/>
      <c r="E71"/>
      <c r="F71" s="95"/>
      <c r="G71"/>
      <c r="H71" s="53"/>
      <c r="I71" s="53"/>
      <c r="J71" s="53"/>
      <c r="K71" s="53"/>
      <c r="L71" s="53"/>
      <c r="M71" s="53"/>
      <c r="N71" s="53"/>
      <c r="O71" s="53"/>
      <c r="P71" s="53"/>
      <c r="Q71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zoomScale="70" zoomScaleNormal="70" zoomScalePageLayoutView="0" workbookViewId="0" topLeftCell="A4">
      <selection activeCell="G29" sqref="G29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641</v>
      </c>
    </row>
    <row r="3" ht="15">
      <c r="B3" s="20" t="s">
        <v>653</v>
      </c>
    </row>
    <row r="4" ht="15">
      <c r="B4" s="20" t="s">
        <v>671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8924000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1952</v>
      </c>
      <c r="E7" s="10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D7-12</f>
        <v>1940</v>
      </c>
      <c r="E8" s="110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4600</v>
      </c>
      <c r="E9" s="111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-956142.8571428582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'SPRING 2018'!G57</f>
        <v>6188554.2278571315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14156411.370714273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COUNTIF(A17:A40,"S")</f>
        <v>2</v>
      </c>
      <c r="K15" s="58">
        <f>SUMIF($A$17:$A$40,"S",$D$17:$D$33)</f>
        <v>421600</v>
      </c>
      <c r="L15" s="30">
        <f>K15/$K$20</f>
        <v>0.04636905855193477</v>
      </c>
      <c r="M15" s="58">
        <f>SUMIF($A$17:$A$40,"S",$F$17:$F$33)</f>
        <v>421600</v>
      </c>
      <c r="N15" s="30">
        <f>M15/$M$20</f>
        <v>0.06072477962781587</v>
      </c>
      <c r="O15" s="58">
        <f>SUMIF($A$17:$A$40,"S",$G$17:$G$33)</f>
        <v>292940</v>
      </c>
      <c r="P15" s="30">
        <f>O15/$O$20</f>
        <v>0.04437441377421552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COUNTIF($A$17:$A$40,"I")</f>
        <v>1</v>
      </c>
      <c r="K16" s="58">
        <f>SUMIF($A$17:$A$40,"I",$D$17:$D$33)</f>
        <v>40400</v>
      </c>
      <c r="L16" s="71">
        <f>K16/$K$20</f>
        <v>0.004443334832775534</v>
      </c>
      <c r="M16" s="58">
        <f>SUMIF($A$17:$A$40,"I",$F$17:$F$33)</f>
        <v>40400</v>
      </c>
      <c r="N16" s="71">
        <f>M16/$M$20</f>
        <v>0.005818977933974765</v>
      </c>
      <c r="O16" s="58">
        <f>SUMIF($A$17:$A$40,"I",$G$17:$G$33)</f>
        <v>14605</v>
      </c>
      <c r="P16" s="71">
        <f>O16/$O$20</f>
        <v>0.00221235854841407</v>
      </c>
      <c r="Q16" s="72">
        <v>0.1</v>
      </c>
    </row>
    <row r="17" spans="1:17" ht="15">
      <c r="A17" s="100" t="s">
        <v>109</v>
      </c>
      <c r="B17" s="54" t="s">
        <v>643</v>
      </c>
      <c r="C17" s="61"/>
      <c r="D17" s="82">
        <v>993400</v>
      </c>
      <c r="E17" s="81">
        <v>993400</v>
      </c>
      <c r="F17" s="76">
        <v>969400</v>
      </c>
      <c r="G17" s="112">
        <f>878000+51600</f>
        <v>929600</v>
      </c>
      <c r="H17" s="70" t="s">
        <v>109</v>
      </c>
      <c r="I17" s="56" t="s">
        <v>117</v>
      </c>
      <c r="J17" s="53">
        <f>COUNTIF(A17:A40,"E")</f>
        <v>9</v>
      </c>
      <c r="K17" s="58">
        <f>SUMIF($A$17:$A$40,"E",$D$17:$D$33)</f>
        <v>5614270</v>
      </c>
      <c r="L17" s="71">
        <f>K17/$K$20</f>
        <v>0.6174772636536311</v>
      </c>
      <c r="M17" s="58">
        <f>SUMIF($A$17:$A$40,"E",$F$17:$F$33)</f>
        <v>3934800</v>
      </c>
      <c r="N17" s="71">
        <f>M17/$M$20</f>
        <v>0.5667454053119779</v>
      </c>
      <c r="O17" s="58">
        <f>SUMIF($A$17:$A$40,"E",$G$17:$G$33)</f>
        <v>3814345</v>
      </c>
      <c r="P17" s="71">
        <f>O17/$O$20</f>
        <v>0.5777951911914047</v>
      </c>
      <c r="Q17" s="72">
        <v>0.3</v>
      </c>
    </row>
    <row r="18" spans="1:17" ht="15.75">
      <c r="A18" s="100" t="s">
        <v>109</v>
      </c>
      <c r="B18" s="54" t="s">
        <v>644</v>
      </c>
      <c r="C18" s="75"/>
      <c r="D18" s="76">
        <v>27000</v>
      </c>
      <c r="E18" s="76">
        <v>27000</v>
      </c>
      <c r="F18" s="76">
        <v>27000</v>
      </c>
      <c r="G18" s="112">
        <v>26950</v>
      </c>
      <c r="H18" s="70" t="s">
        <v>111</v>
      </c>
      <c r="I18" s="56" t="s">
        <v>118</v>
      </c>
      <c r="J18" s="53">
        <f>COUNTIF(A17:A44,"C")</f>
        <v>5</v>
      </c>
      <c r="K18" s="58">
        <f>SUMIF($A$17:$A$40,"C",$D$17:$D$33)</f>
        <v>3016000</v>
      </c>
      <c r="L18" s="71">
        <f>K18/$K$20</f>
        <v>0.33171034296165863</v>
      </c>
      <c r="M18" s="58">
        <f>SUMIF($A$17:$A$40,"C",$F$17:$F$33)</f>
        <v>2546000</v>
      </c>
      <c r="N18" s="71">
        <f>M18/$M$20</f>
        <v>0.3667108371262315</v>
      </c>
      <c r="O18" s="58">
        <f>SUMIF($A$17:$A$40,"C",$G$17:$G$33)</f>
        <v>2479662</v>
      </c>
      <c r="P18" s="71">
        <f>O18/$O$20</f>
        <v>0.3756180364859657</v>
      </c>
      <c r="Q18" s="72">
        <v>0.3</v>
      </c>
    </row>
    <row r="19" spans="1:17" ht="15.75">
      <c r="A19" s="100" t="s">
        <v>109</v>
      </c>
      <c r="B19" s="54" t="s">
        <v>645</v>
      </c>
      <c r="C19" s="75"/>
      <c r="D19" s="76">
        <v>232550</v>
      </c>
      <c r="E19" s="76">
        <v>232550</v>
      </c>
      <c r="F19" s="76">
        <v>232550</v>
      </c>
      <c r="G19" s="112">
        <v>198005</v>
      </c>
      <c r="H19" s="70" t="s">
        <v>113</v>
      </c>
      <c r="I19" s="56" t="s">
        <v>125</v>
      </c>
      <c r="J19" s="53">
        <f>COUNTIF(A17:A40,"M")</f>
        <v>0</v>
      </c>
      <c r="K19" s="58">
        <f>SUMIF($A$17:$A$40,"M",$D$17:$D$33)</f>
        <v>0</v>
      </c>
      <c r="L19" s="71">
        <f>K19/$K$20</f>
        <v>0</v>
      </c>
      <c r="M19" s="58">
        <f>SUMIF($A$17:$A$40,"M",$F$17:$F$33)</f>
        <v>0</v>
      </c>
      <c r="N19" s="71">
        <f>M19/$M$20</f>
        <v>0</v>
      </c>
      <c r="O19" s="58">
        <f>SUMIF($A$17:$A$40,"M",$G$17:$G$33)</f>
        <v>0</v>
      </c>
      <c r="P19" s="71">
        <f>O19/$O$20</f>
        <v>0</v>
      </c>
      <c r="Q19" s="72">
        <v>0</v>
      </c>
    </row>
    <row r="20" spans="1:17" ht="15.75">
      <c r="A20" s="100" t="s">
        <v>111</v>
      </c>
      <c r="B20" s="54" t="s">
        <v>582</v>
      </c>
      <c r="C20" s="75"/>
      <c r="D20" s="76">
        <v>1470000</v>
      </c>
      <c r="E20" s="85">
        <v>1470000</v>
      </c>
      <c r="F20" s="76">
        <v>1000000</v>
      </c>
      <c r="G20" s="112">
        <v>980000</v>
      </c>
      <c r="H20" s="53"/>
      <c r="I20" s="77" t="s">
        <v>124</v>
      </c>
      <c r="J20" s="78">
        <f>SUM(J15:J19)</f>
        <v>17</v>
      </c>
      <c r="K20" s="78">
        <f>SUM(K15:K19)</f>
        <v>9092270</v>
      </c>
      <c r="L20" s="78"/>
      <c r="M20" s="78">
        <f>SUM(M15:M19)</f>
        <v>6942800</v>
      </c>
      <c r="N20" s="78"/>
      <c r="O20" s="78">
        <f>SUM(O15:O19)</f>
        <v>6601552</v>
      </c>
      <c r="P20" s="53"/>
      <c r="Q20" s="72"/>
    </row>
    <row r="21" spans="1:17" ht="15.75">
      <c r="A21" s="100" t="s">
        <v>109</v>
      </c>
      <c r="B21" s="54" t="s">
        <v>646</v>
      </c>
      <c r="C21" s="75"/>
      <c r="D21" s="76">
        <v>200250</v>
      </c>
      <c r="E21" s="76">
        <v>200250</v>
      </c>
      <c r="F21" s="76">
        <v>200250</v>
      </c>
      <c r="G21" s="112">
        <v>200005</v>
      </c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.75">
      <c r="A22" s="100" t="s">
        <v>109</v>
      </c>
      <c r="B22" s="54" t="s">
        <v>647</v>
      </c>
      <c r="C22" s="75"/>
      <c r="D22" s="76">
        <v>43100</v>
      </c>
      <c r="E22" s="76">
        <v>43100</v>
      </c>
      <c r="F22" s="76">
        <v>43100</v>
      </c>
      <c r="G22" s="112">
        <v>39925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100" t="s">
        <v>109</v>
      </c>
      <c r="B23" s="54" t="s">
        <v>475</v>
      </c>
      <c r="C23" s="75"/>
      <c r="D23" s="76">
        <v>2517770</v>
      </c>
      <c r="E23" s="76">
        <v>2517770</v>
      </c>
      <c r="F23" s="76">
        <v>1000000</v>
      </c>
      <c r="G23" s="112">
        <v>980000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100" t="s">
        <v>111</v>
      </c>
      <c r="B24" s="54" t="s">
        <v>580</v>
      </c>
      <c r="C24" s="75"/>
      <c r="D24" s="76">
        <v>1000000</v>
      </c>
      <c r="E24" s="76">
        <v>1000000</v>
      </c>
      <c r="F24" s="76">
        <v>1000000</v>
      </c>
      <c r="G24" s="112">
        <v>992000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100" t="s">
        <v>110</v>
      </c>
      <c r="B25" s="54" t="s">
        <v>648</v>
      </c>
      <c r="C25" s="75"/>
      <c r="D25" s="76">
        <v>40400</v>
      </c>
      <c r="E25" s="76">
        <v>40400</v>
      </c>
      <c r="F25" s="76">
        <v>40400</v>
      </c>
      <c r="G25" s="112">
        <f>3425+11180</f>
        <v>14605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100" t="s">
        <v>109</v>
      </c>
      <c r="B26" s="54" t="s">
        <v>649</v>
      </c>
      <c r="C26" s="75"/>
      <c r="D26" s="76">
        <v>800200</v>
      </c>
      <c r="E26" s="85">
        <v>800200</v>
      </c>
      <c r="F26" s="76">
        <v>662500</v>
      </c>
      <c r="G26" s="112">
        <v>662500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100" t="s">
        <v>112</v>
      </c>
      <c r="B27" s="54" t="s">
        <v>463</v>
      </c>
      <c r="C27" s="75"/>
      <c r="D27" s="76">
        <v>140600</v>
      </c>
      <c r="E27" s="76">
        <v>140600</v>
      </c>
      <c r="F27" s="76">
        <v>140600</v>
      </c>
      <c r="G27" s="112">
        <v>101940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100" t="s">
        <v>112</v>
      </c>
      <c r="B28" s="54" t="s">
        <v>583</v>
      </c>
      <c r="C28" s="75"/>
      <c r="D28" s="76">
        <v>281000</v>
      </c>
      <c r="E28" s="76">
        <v>281000</v>
      </c>
      <c r="F28" s="76">
        <v>281000</v>
      </c>
      <c r="G28" s="112">
        <f>175000+16000</f>
        <v>191000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100" t="s">
        <v>109</v>
      </c>
      <c r="B29" s="54" t="s">
        <v>624</v>
      </c>
      <c r="C29" s="75"/>
      <c r="D29" s="76">
        <v>600000</v>
      </c>
      <c r="E29" s="76">
        <v>600000</v>
      </c>
      <c r="F29" s="76">
        <v>600000</v>
      </c>
      <c r="G29" s="112">
        <v>577885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100" t="s">
        <v>109</v>
      </c>
      <c r="B30" s="54" t="s">
        <v>554</v>
      </c>
      <c r="C30" s="75"/>
      <c r="D30" s="76">
        <v>200000</v>
      </c>
      <c r="E30" s="76">
        <v>200000</v>
      </c>
      <c r="F30" s="76">
        <v>200000</v>
      </c>
      <c r="G30" s="112">
        <v>199475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100" t="s">
        <v>111</v>
      </c>
      <c r="B31" s="54" t="s">
        <v>597</v>
      </c>
      <c r="C31" s="75"/>
      <c r="D31" s="76">
        <v>378000</v>
      </c>
      <c r="E31" s="76">
        <v>378000</v>
      </c>
      <c r="F31" s="76">
        <v>378000</v>
      </c>
      <c r="G31" s="112">
        <v>359132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100" t="s">
        <v>111</v>
      </c>
      <c r="B32" s="54" t="s">
        <v>650</v>
      </c>
      <c r="C32" s="75"/>
      <c r="D32" s="76">
        <v>18000</v>
      </c>
      <c r="E32" s="76">
        <v>18000</v>
      </c>
      <c r="F32" s="76">
        <v>18000</v>
      </c>
      <c r="G32" s="112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100" t="s">
        <v>111</v>
      </c>
      <c r="B33" s="54" t="s">
        <v>651</v>
      </c>
      <c r="C33" s="75"/>
      <c r="D33" s="76">
        <v>150000</v>
      </c>
      <c r="E33" s="76">
        <v>150000</v>
      </c>
      <c r="F33" s="76">
        <v>150000</v>
      </c>
      <c r="G33" s="112">
        <v>148530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100"/>
      <c r="B34" s="54"/>
      <c r="C34" s="75"/>
      <c r="D34" s="76"/>
      <c r="E34" s="76"/>
      <c r="F34" s="76"/>
      <c r="G34" s="112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100"/>
      <c r="B35" s="75"/>
      <c r="C35" s="53"/>
      <c r="D35" s="76"/>
      <c r="E35" s="53"/>
      <c r="F35" s="9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">
      <c r="A36" s="100"/>
      <c r="B36" s="53"/>
      <c r="C36" s="53"/>
      <c r="D36" s="80">
        <f>SUM(D17:D34)</f>
        <v>9092270</v>
      </c>
      <c r="E36" s="80">
        <f>SUM(E17:E34)</f>
        <v>9092270</v>
      </c>
      <c r="F36" s="96">
        <f>SUM(F17:F34)</f>
        <v>6942800</v>
      </c>
      <c r="G36" s="80">
        <f>SUM(G17:G33)</f>
        <v>6601552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100"/>
      <c r="B37" s="53"/>
      <c r="C37" s="53"/>
      <c r="D37" s="80"/>
      <c r="E37" s="80"/>
      <c r="F37" s="90"/>
      <c r="G37" s="80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.75">
      <c r="A38" s="100"/>
      <c r="B38" s="53"/>
      <c r="C38" s="53"/>
      <c r="D38" s="83"/>
      <c r="E38" s="54"/>
      <c r="F38" s="92"/>
      <c r="G38" s="76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">
      <c r="A39" s="100"/>
      <c r="B39" s="20"/>
      <c r="C39" s="20"/>
      <c r="D39" s="84">
        <f>D13-D36</f>
        <v>5064141.370714273</v>
      </c>
      <c r="E39" s="84">
        <f>D13-E36</f>
        <v>5064141.370714273</v>
      </c>
      <c r="F39" s="97">
        <f>D13-F36</f>
        <v>7213611.370714273</v>
      </c>
      <c r="G39" s="84">
        <f>D13-G36</f>
        <v>7554859.370714273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">
      <c r="A40" s="100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">
      <c r="A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">
      <c r="A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">
      <c r="A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">
      <c r="A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">
      <c r="A45" s="20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8:17" ht="15"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8:17" ht="15"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8:17" ht="15"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8:17" ht="15"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8:17" ht="15"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8:17" ht="15"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8:17" ht="15"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8:17" ht="15"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8:17" ht="15"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8:17" ht="15"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8:17" ht="15"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8:17" ht="15"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8:17" ht="15"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8:17" ht="15"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8:17" ht="15"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8:17" ht="15"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8:17" ht="15"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8:17" ht="15"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8:17" ht="15"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8:17" ht="15"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8:17" ht="15"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8:17" ht="15">
      <c r="H67" s="53"/>
      <c r="I67" s="101"/>
      <c r="J67" s="53"/>
      <c r="K67" s="53"/>
      <c r="L67" s="53"/>
      <c r="M67" s="53"/>
      <c r="N67" s="53"/>
      <c r="O67" s="53"/>
      <c r="P67" s="53"/>
      <c r="Q67" s="53"/>
    </row>
    <row r="68" spans="8:17" ht="15"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8:17" ht="15"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20" customFormat="1" ht="13.5" customHeight="1">
      <c r="A70"/>
      <c r="B70"/>
      <c r="C70"/>
      <c r="D70"/>
      <c r="E70"/>
      <c r="F70" s="95"/>
      <c r="G70"/>
      <c r="H70" s="53"/>
      <c r="I70" s="53"/>
      <c r="J70" s="53"/>
      <c r="K70" s="53"/>
      <c r="L70" s="53"/>
      <c r="M70" s="53"/>
      <c r="N70" s="53"/>
      <c r="O70" s="53"/>
      <c r="P70" s="53"/>
      <c r="Q70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E26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41.421875" style="0" customWidth="1"/>
    <col min="4" max="4" width="17.00390625" style="0" customWidth="1"/>
    <col min="5" max="5" width="26.8515625" style="0" customWidth="1"/>
  </cols>
  <sheetData>
    <row r="3" spans="3:5" ht="15.75">
      <c r="C3" s="6" t="s">
        <v>25</v>
      </c>
      <c r="D3" s="6"/>
      <c r="E3" s="7"/>
    </row>
    <row r="4" spans="3:5" ht="15">
      <c r="C4" s="7"/>
      <c r="D4" s="7"/>
      <c r="E4" s="7"/>
    </row>
    <row r="5" spans="3:5" ht="15.75">
      <c r="C5" s="8" t="s">
        <v>29</v>
      </c>
      <c r="D5" s="8"/>
      <c r="E5" s="9">
        <v>6325000</v>
      </c>
    </row>
    <row r="6" spans="3:5" ht="15">
      <c r="C6" s="10"/>
      <c r="D6" s="10"/>
      <c r="E6" s="11"/>
    </row>
    <row r="7" spans="3:5" ht="15">
      <c r="C7" s="8" t="s">
        <v>24</v>
      </c>
      <c r="D7" s="8"/>
      <c r="E7" s="12"/>
    </row>
    <row r="8" spans="3:5" ht="15">
      <c r="C8" s="13" t="s">
        <v>6</v>
      </c>
      <c r="D8" s="13" t="s">
        <v>2</v>
      </c>
      <c r="E8" s="12">
        <v>2584700</v>
      </c>
    </row>
    <row r="9" spans="3:5" ht="15">
      <c r="C9" s="13" t="s">
        <v>7</v>
      </c>
      <c r="D9" s="13" t="s">
        <v>8</v>
      </c>
      <c r="E9" s="12">
        <v>44300</v>
      </c>
    </row>
    <row r="10" spans="3:5" ht="15">
      <c r="C10" s="13" t="s">
        <v>9</v>
      </c>
      <c r="D10" s="13" t="s">
        <v>10</v>
      </c>
      <c r="E10" s="12">
        <v>448720</v>
      </c>
    </row>
    <row r="11" spans="3:5" ht="15">
      <c r="C11" s="13" t="s">
        <v>11</v>
      </c>
      <c r="D11" s="13" t="s">
        <v>12</v>
      </c>
      <c r="E11" s="12">
        <v>528800</v>
      </c>
    </row>
    <row r="12" spans="3:5" ht="15">
      <c r="C12" s="13" t="s">
        <v>13</v>
      </c>
      <c r="D12" s="13" t="s">
        <v>14</v>
      </c>
      <c r="E12" s="12">
        <v>150000</v>
      </c>
    </row>
    <row r="13" spans="3:5" ht="15">
      <c r="C13" s="13" t="s">
        <v>15</v>
      </c>
      <c r="D13" s="13" t="s">
        <v>16</v>
      </c>
      <c r="E13" s="12">
        <v>50768</v>
      </c>
    </row>
    <row r="14" spans="3:5" ht="15">
      <c r="C14" s="13" t="s">
        <v>17</v>
      </c>
      <c r="D14" s="13" t="s">
        <v>2</v>
      </c>
      <c r="E14" s="12">
        <v>453700</v>
      </c>
    </row>
    <row r="15" spans="3:5" ht="15">
      <c r="C15" s="13" t="s">
        <v>3</v>
      </c>
      <c r="D15" s="13" t="s">
        <v>18</v>
      </c>
      <c r="E15" s="12">
        <v>554760</v>
      </c>
    </row>
    <row r="16" spans="3:5" ht="15">
      <c r="C16" s="13" t="s">
        <v>19</v>
      </c>
      <c r="D16" s="13" t="s">
        <v>20</v>
      </c>
      <c r="E16" s="12">
        <v>822225</v>
      </c>
    </row>
    <row r="17" spans="3:5" ht="15">
      <c r="C17" s="13" t="s">
        <v>21</v>
      </c>
      <c r="D17" s="13" t="s">
        <v>22</v>
      </c>
      <c r="E17" s="12">
        <v>338934</v>
      </c>
    </row>
    <row r="18" spans="3:5" ht="15">
      <c r="C18" s="13" t="s">
        <v>0</v>
      </c>
      <c r="D18" s="13" t="s">
        <v>23</v>
      </c>
      <c r="E18" s="12">
        <v>638434</v>
      </c>
    </row>
    <row r="19" spans="3:5" ht="15">
      <c r="C19" s="13" t="s">
        <v>1</v>
      </c>
      <c r="D19" s="13" t="s">
        <v>23</v>
      </c>
      <c r="E19" s="12">
        <v>158952.95</v>
      </c>
    </row>
    <row r="20" spans="3:5" ht="15">
      <c r="C20" s="13"/>
      <c r="D20" s="13"/>
      <c r="E20" s="12"/>
    </row>
    <row r="21" spans="3:5" ht="15">
      <c r="C21" s="8" t="s">
        <v>28</v>
      </c>
      <c r="D21" s="8"/>
      <c r="E21" s="11">
        <f>SUM(E8:E19)</f>
        <v>6774293.95</v>
      </c>
    </row>
    <row r="22" spans="3:5" ht="15">
      <c r="C22" s="7"/>
      <c r="D22" s="7"/>
      <c r="E22" s="7"/>
    </row>
    <row r="23" spans="3:5" ht="15">
      <c r="C23" s="8" t="s">
        <v>5</v>
      </c>
      <c r="D23" s="8"/>
      <c r="E23" s="14">
        <f>E5-E21</f>
        <v>-449293.9500000002</v>
      </c>
    </row>
    <row r="26" spans="3:4" ht="12.75">
      <c r="C26" s="1"/>
      <c r="D26" s="1"/>
    </row>
  </sheetData>
  <sheetProtection/>
  <printOptions/>
  <pageMargins left="0.75" right="0.75" top="1" bottom="1" header="0.5" footer="0.5"/>
  <pageSetup fitToHeight="1" fitToWidth="1" horizontalDpi="200" verticalDpi="200" orientation="portrait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zoomScale="70" zoomScaleNormal="70" zoomScalePageLayoutView="0" workbookViewId="0" topLeftCell="A7">
      <selection activeCell="B4" sqref="B4"/>
    </sheetView>
  </sheetViews>
  <sheetFormatPr defaultColWidth="9.140625" defaultRowHeight="12.75"/>
  <cols>
    <col min="2" max="2" width="35.57421875" style="0" customWidth="1"/>
    <col min="3" max="3" width="15.140625" style="0" customWidth="1"/>
    <col min="4" max="4" width="29.28125" style="0" customWidth="1"/>
    <col min="5" max="5" width="29.57421875" style="0" customWidth="1"/>
    <col min="6" max="6" width="26.00390625" style="95" bestFit="1" customWidth="1"/>
    <col min="7" max="7" width="26.57421875" style="0" customWidth="1"/>
    <col min="9" max="9" width="14.8515625" style="0" customWidth="1"/>
    <col min="10" max="10" width="10.00390625" style="0" bestFit="1" customWidth="1"/>
    <col min="11" max="11" width="19.7109375" style="0" customWidth="1"/>
    <col min="13" max="13" width="20.57421875" style="0" customWidth="1"/>
    <col min="15" max="15" width="14.421875" style="0" bestFit="1" customWidth="1"/>
    <col min="16" max="16" width="11.7109375" style="0" bestFit="1" customWidth="1"/>
    <col min="17" max="17" width="12.7109375" style="0" bestFit="1" customWidth="1"/>
  </cols>
  <sheetData>
    <row r="2" ht="15.75">
      <c r="B2" s="6" t="s">
        <v>652</v>
      </c>
    </row>
    <row r="3" ht="15">
      <c r="B3" s="20" t="s">
        <v>610</v>
      </c>
    </row>
    <row r="4" ht="15">
      <c r="B4" s="20" t="s">
        <v>671</v>
      </c>
    </row>
    <row r="5" ht="15">
      <c r="B5" s="20"/>
    </row>
    <row r="6" spans="1:17" ht="15">
      <c r="A6" s="53"/>
      <c r="B6" s="54" t="s">
        <v>26</v>
      </c>
      <c r="C6" s="54"/>
      <c r="D6" s="55">
        <f>D8*D9</f>
        <v>7125400</v>
      </c>
      <c r="E6" s="55"/>
      <c r="F6" s="9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6" t="s">
        <v>55</v>
      </c>
      <c r="C7" s="36" t="s">
        <v>483</v>
      </c>
      <c r="D7" s="58">
        <v>1769</v>
      </c>
      <c r="E7" s="109"/>
      <c r="F7" s="9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36" t="s">
        <v>484</v>
      </c>
      <c r="D8" s="58">
        <f>D7-220</f>
        <v>1549</v>
      </c>
      <c r="E8" s="110"/>
      <c r="F8" s="9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">
      <c r="A9" s="53"/>
      <c r="B9" s="56" t="s">
        <v>56</v>
      </c>
      <c r="C9" s="54"/>
      <c r="D9" s="58">
        <v>4600</v>
      </c>
      <c r="E9" s="111"/>
      <c r="F9" s="9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">
      <c r="A10" s="53"/>
      <c r="B10" s="54" t="s">
        <v>27</v>
      </c>
      <c r="C10" s="54"/>
      <c r="D10" s="55">
        <f>-(D6-(D6/1.12))</f>
        <v>-763435.7142857146</v>
      </c>
      <c r="E10" s="55"/>
      <c r="F10" s="9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">
      <c r="A11" s="53"/>
      <c r="B11" s="54" t="s">
        <v>346</v>
      </c>
      <c r="C11" s="54"/>
      <c r="D11" s="55">
        <v>0</v>
      </c>
      <c r="E11" s="55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">
      <c r="A12" s="53"/>
      <c r="B12" s="54" t="s">
        <v>30</v>
      </c>
      <c r="C12" s="54"/>
      <c r="D12" s="60">
        <f>'FALL 2018'!G39</f>
        <v>7554859.370714273</v>
      </c>
      <c r="E12" s="55"/>
      <c r="F12" s="9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61" t="s">
        <v>29</v>
      </c>
      <c r="C13" s="62"/>
      <c r="D13" s="63">
        <f>SUM(D6,D10:D12)</f>
        <v>13916823.656428559</v>
      </c>
      <c r="E13" s="64"/>
      <c r="F13" s="92"/>
      <c r="G13" s="53"/>
      <c r="H13" s="53"/>
      <c r="I13" s="119" t="s">
        <v>119</v>
      </c>
      <c r="J13" s="119" t="s">
        <v>120</v>
      </c>
      <c r="K13" s="121" t="s">
        <v>123</v>
      </c>
      <c r="L13" s="121"/>
      <c r="M13" s="121"/>
      <c r="N13" s="121"/>
      <c r="O13" s="121"/>
      <c r="P13" s="121"/>
      <c r="Q13" s="119" t="s">
        <v>126</v>
      </c>
    </row>
    <row r="14" spans="1:17" ht="15.75">
      <c r="A14" s="53"/>
      <c r="B14" s="61"/>
      <c r="C14" s="61"/>
      <c r="D14" s="65"/>
      <c r="E14" s="66"/>
      <c r="F14" s="92"/>
      <c r="G14" s="67"/>
      <c r="H14" s="67"/>
      <c r="I14" s="119"/>
      <c r="J14" s="119"/>
      <c r="K14" s="68" t="s">
        <v>274</v>
      </c>
      <c r="L14" s="53"/>
      <c r="M14" s="68" t="s">
        <v>517</v>
      </c>
      <c r="N14" s="53"/>
      <c r="O14" s="68" t="s">
        <v>122</v>
      </c>
      <c r="P14" s="53"/>
      <c r="Q14" s="119"/>
    </row>
    <row r="15" spans="1:17" ht="15.75">
      <c r="A15" s="53"/>
      <c r="B15" s="61"/>
      <c r="C15" s="61"/>
      <c r="D15" s="120" t="s">
        <v>127</v>
      </c>
      <c r="E15" s="120"/>
      <c r="F15" s="87"/>
      <c r="G15" s="69"/>
      <c r="H15" s="70" t="s">
        <v>112</v>
      </c>
      <c r="I15" s="56" t="s">
        <v>115</v>
      </c>
      <c r="J15" s="53">
        <f>COUNTIF(A17:A48,"S")</f>
        <v>4</v>
      </c>
      <c r="K15" s="58">
        <f>SUMIF($A$17:$A$48,"S",$D$17:$D$41)</f>
        <v>1525139</v>
      </c>
      <c r="L15" s="30">
        <f>K15/$K$20</f>
        <v>0.11275259824846486</v>
      </c>
      <c r="M15" s="58">
        <f>SUMIF($A$17:$A$48,"S",$F$17:$F$41)</f>
        <v>987139</v>
      </c>
      <c r="N15" s="30">
        <f>M15/$M$20</f>
        <v>0.11933512975716846</v>
      </c>
      <c r="O15" s="58">
        <f>SUMIF($A$17:$A$48,"S",$G$17:$G$41)</f>
        <v>0</v>
      </c>
      <c r="P15" s="30" t="e">
        <f>O15/$O$20</f>
        <v>#DIV/0!</v>
      </c>
      <c r="Q15" s="72">
        <v>0.3</v>
      </c>
    </row>
    <row r="16" spans="1:17" ht="25.5">
      <c r="A16" s="53"/>
      <c r="B16" s="61" t="s">
        <v>24</v>
      </c>
      <c r="C16" s="61"/>
      <c r="D16" s="73" t="s">
        <v>274</v>
      </c>
      <c r="E16" s="98" t="s">
        <v>350</v>
      </c>
      <c r="F16" s="88" t="s">
        <v>275</v>
      </c>
      <c r="G16" s="73" t="s">
        <v>485</v>
      </c>
      <c r="H16" s="70" t="s">
        <v>110</v>
      </c>
      <c r="I16" s="56" t="s">
        <v>116</v>
      </c>
      <c r="J16" s="53">
        <f>COUNTIF($A$17:$A$48,"I")</f>
        <v>3</v>
      </c>
      <c r="K16" s="58">
        <f>SUMIF($A$17:$A$48,"I",$D$17:$D$41)</f>
        <v>1104950</v>
      </c>
      <c r="L16" s="71">
        <f>K16/$K$20</f>
        <v>0.08168828115643312</v>
      </c>
      <c r="M16" s="58">
        <f>SUMIF($A$17:$A$48,"I",$F$17:$F$41)</f>
        <v>829250</v>
      </c>
      <c r="N16" s="71">
        <f>M16/$M$20</f>
        <v>0.10024794517401496</v>
      </c>
      <c r="O16" s="58">
        <f>SUMIF($A$17:$A$48,"I",$G$17:$G$41)</f>
        <v>0</v>
      </c>
      <c r="P16" s="71" t="e">
        <f>O16/$O$20</f>
        <v>#DIV/0!</v>
      </c>
      <c r="Q16" s="72">
        <v>0.1</v>
      </c>
    </row>
    <row r="17" spans="1:17" ht="15">
      <c r="A17" s="100" t="s">
        <v>111</v>
      </c>
      <c r="B17" s="54" t="s">
        <v>634</v>
      </c>
      <c r="C17" s="114"/>
      <c r="D17" s="82">
        <v>22000</v>
      </c>
      <c r="E17" s="82">
        <v>22000</v>
      </c>
      <c r="F17" s="82">
        <v>22000</v>
      </c>
      <c r="G17" s="112"/>
      <c r="H17" s="70" t="s">
        <v>109</v>
      </c>
      <c r="I17" s="56" t="s">
        <v>117</v>
      </c>
      <c r="J17" s="53">
        <f>COUNTIF(A17:A48,"E")</f>
        <v>8</v>
      </c>
      <c r="K17" s="58">
        <f>SUMIF($A$17:$A$48,"E",$D$17:$D$41)</f>
        <v>4615785</v>
      </c>
      <c r="L17" s="71">
        <f>K17/$K$20</f>
        <v>0.3412421764221427</v>
      </c>
      <c r="M17" s="58">
        <f>SUMIF($A$17:$A$48,"E",$F$17:$F$41)</f>
        <v>2973520</v>
      </c>
      <c r="N17" s="71">
        <f>M17/$M$20</f>
        <v>0.3594685196669725</v>
      </c>
      <c r="O17" s="58">
        <f>SUMIF($A$17:$A$48,"E",$G$17:$G$41)</f>
        <v>0</v>
      </c>
      <c r="P17" s="71" t="e">
        <f>O17/$O$20</f>
        <v>#DIV/0!</v>
      </c>
      <c r="Q17" s="72">
        <v>0.3</v>
      </c>
    </row>
    <row r="18" spans="1:17" ht="15">
      <c r="A18" s="100" t="s">
        <v>110</v>
      </c>
      <c r="B18" s="54" t="s">
        <v>635</v>
      </c>
      <c r="C18" s="114"/>
      <c r="D18" s="76">
        <v>65700</v>
      </c>
      <c r="E18" s="76">
        <v>65700</v>
      </c>
      <c r="F18" s="76">
        <v>40000</v>
      </c>
      <c r="G18" s="112"/>
      <c r="H18" s="70" t="s">
        <v>111</v>
      </c>
      <c r="I18" s="56" t="s">
        <v>118</v>
      </c>
      <c r="J18" s="53">
        <f>COUNTIF(A17:A52,"C")</f>
        <v>8</v>
      </c>
      <c r="K18" s="58">
        <f>SUMIF($A$17:$A$48,"C",$D$17:$D$41)</f>
        <v>5013630</v>
      </c>
      <c r="L18" s="71">
        <f>K18/$K$20</f>
        <v>0.3706546151901242</v>
      </c>
      <c r="M18" s="58">
        <f>SUMIF($A$17:$A$48,"C",$F$17:$F$41)</f>
        <v>2294565</v>
      </c>
      <c r="N18" s="71">
        <f>M18/$M$20</f>
        <v>0.27738972121581384</v>
      </c>
      <c r="O18" s="58">
        <f>SUMIF($A$17:$A$48,"C",$G$17:$G$41)</f>
        <v>0</v>
      </c>
      <c r="P18" s="71" t="e">
        <f>O18/$O$20</f>
        <v>#DIV/0!</v>
      </c>
      <c r="Q18" s="72">
        <v>0.3</v>
      </c>
    </row>
    <row r="19" spans="1:17" ht="15">
      <c r="A19" s="100" t="s">
        <v>109</v>
      </c>
      <c r="B19" s="54" t="s">
        <v>655</v>
      </c>
      <c r="C19" s="114"/>
      <c r="D19" s="76">
        <v>550000</v>
      </c>
      <c r="E19" s="76">
        <v>550000</v>
      </c>
      <c r="F19" s="76">
        <v>500000</v>
      </c>
      <c r="G19" s="112"/>
      <c r="H19" s="70" t="s">
        <v>113</v>
      </c>
      <c r="I19" s="56" t="s">
        <v>125</v>
      </c>
      <c r="J19" s="53">
        <f>COUNTIF(A17:A48,"M")</f>
        <v>2</v>
      </c>
      <c r="K19" s="58">
        <f>SUMIF($A$17:$A$48,"M",$D$17:$D$41)</f>
        <v>1266916</v>
      </c>
      <c r="L19" s="71">
        <f>K19/$K$20</f>
        <v>0.09366232898283508</v>
      </c>
      <c r="M19" s="58">
        <f>SUMIF($A$17:$A$48,"M",$F$17:$F$41)</f>
        <v>1187516</v>
      </c>
      <c r="N19" s="71">
        <f>M19/$M$20</f>
        <v>0.1435586841860302</v>
      </c>
      <c r="O19" s="58">
        <f>SUMIF($A$17:$A$48,"M",$G$17:$G$41)</f>
        <v>0</v>
      </c>
      <c r="P19" s="71" t="e">
        <f>O19/$O$20</f>
        <v>#DIV/0!</v>
      </c>
      <c r="Q19" s="72">
        <v>0</v>
      </c>
    </row>
    <row r="20" spans="1:17" ht="15">
      <c r="A20" s="100" t="s">
        <v>109</v>
      </c>
      <c r="B20" s="54" t="s">
        <v>667</v>
      </c>
      <c r="C20" s="114"/>
      <c r="D20" s="76">
        <v>275000</v>
      </c>
      <c r="E20" s="85">
        <v>275000</v>
      </c>
      <c r="F20" s="76">
        <v>195000</v>
      </c>
      <c r="G20" s="112"/>
      <c r="H20" s="53"/>
      <c r="I20" s="77" t="s">
        <v>124</v>
      </c>
      <c r="J20" s="78">
        <f>SUM(J15:J19)</f>
        <v>25</v>
      </c>
      <c r="K20" s="78">
        <f>SUM(K15:K19)</f>
        <v>13526420</v>
      </c>
      <c r="L20" s="78"/>
      <c r="M20" s="78">
        <f>SUM(M15:M19)</f>
        <v>8271990</v>
      </c>
      <c r="N20" s="78"/>
      <c r="O20" s="78">
        <f>SUM(O15:O19)</f>
        <v>0</v>
      </c>
      <c r="P20" s="53"/>
      <c r="Q20" s="72"/>
    </row>
    <row r="21" spans="1:17" ht="15">
      <c r="A21" s="100" t="s">
        <v>111</v>
      </c>
      <c r="B21" s="54" t="s">
        <v>582</v>
      </c>
      <c r="C21" s="114"/>
      <c r="D21" s="76">
        <v>1080000</v>
      </c>
      <c r="E21" s="76">
        <v>1080000</v>
      </c>
      <c r="F21" s="76">
        <v>1000000</v>
      </c>
      <c r="G21" s="112"/>
      <c r="H21" s="53"/>
      <c r="I21" s="77"/>
      <c r="J21" s="78"/>
      <c r="K21" s="78"/>
      <c r="L21" s="78"/>
      <c r="M21" s="78"/>
      <c r="N21" s="78"/>
      <c r="O21" s="78"/>
      <c r="P21" s="53"/>
      <c r="Q21" s="72"/>
    </row>
    <row r="22" spans="1:17" ht="15">
      <c r="A22" s="100" t="s">
        <v>111</v>
      </c>
      <c r="B22" s="54" t="s">
        <v>666</v>
      </c>
      <c r="C22" s="114"/>
      <c r="D22" s="76">
        <v>634440</v>
      </c>
      <c r="E22" s="76">
        <v>634440</v>
      </c>
      <c r="F22" s="76">
        <v>322200</v>
      </c>
      <c r="G22" s="11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">
      <c r="A23" s="100" t="s">
        <v>111</v>
      </c>
      <c r="B23" s="54" t="s">
        <v>467</v>
      </c>
      <c r="C23" s="114"/>
      <c r="D23" s="76">
        <v>184700</v>
      </c>
      <c r="E23" s="76">
        <v>184700</v>
      </c>
      <c r="F23" s="76">
        <v>102700</v>
      </c>
      <c r="G23" s="112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">
      <c r="A24" s="100" t="s">
        <v>111</v>
      </c>
      <c r="B24" s="54" t="s">
        <v>665</v>
      </c>
      <c r="C24" s="114"/>
      <c r="D24" s="76">
        <v>664790</v>
      </c>
      <c r="E24" s="76">
        <v>664790</v>
      </c>
      <c r="F24" s="76">
        <v>604790</v>
      </c>
      <c r="G24" s="112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">
      <c r="A25" s="100" t="s">
        <v>109</v>
      </c>
      <c r="B25" s="54" t="s">
        <v>624</v>
      </c>
      <c r="C25" s="114"/>
      <c r="D25" s="76">
        <v>285765</v>
      </c>
      <c r="E25" s="76">
        <v>285765</v>
      </c>
      <c r="F25" s="76">
        <v>175000</v>
      </c>
      <c r="G25" s="112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">
      <c r="A26" s="100" t="s">
        <v>111</v>
      </c>
      <c r="B26" s="54" t="s">
        <v>656</v>
      </c>
      <c r="C26" s="114"/>
      <c r="D26" s="76">
        <v>250000</v>
      </c>
      <c r="E26" s="85">
        <v>250000</v>
      </c>
      <c r="F26" s="76">
        <v>175000</v>
      </c>
      <c r="G26" s="112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">
      <c r="A27" s="100" t="s">
        <v>109</v>
      </c>
      <c r="B27" s="54" t="s">
        <v>554</v>
      </c>
      <c r="C27" s="114"/>
      <c r="D27" s="76">
        <v>736800</v>
      </c>
      <c r="E27" s="76">
        <v>736800</v>
      </c>
      <c r="F27" s="76">
        <v>400000</v>
      </c>
      <c r="G27" s="112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">
      <c r="A28" s="100" t="s">
        <v>111</v>
      </c>
      <c r="B28" s="54" t="s">
        <v>657</v>
      </c>
      <c r="C28" s="114"/>
      <c r="D28" s="76">
        <v>143550</v>
      </c>
      <c r="E28" s="76">
        <v>143550</v>
      </c>
      <c r="F28" s="76">
        <v>67875</v>
      </c>
      <c r="G28" s="112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">
      <c r="A29" s="100" t="s">
        <v>110</v>
      </c>
      <c r="B29" s="54" t="s">
        <v>658</v>
      </c>
      <c r="C29" s="114"/>
      <c r="D29" s="76">
        <v>770000</v>
      </c>
      <c r="E29" s="76">
        <v>770000</v>
      </c>
      <c r="F29" s="76">
        <v>520000</v>
      </c>
      <c r="G29" s="112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">
      <c r="A30" s="100" t="s">
        <v>113</v>
      </c>
      <c r="B30" s="54" t="s">
        <v>659</v>
      </c>
      <c r="C30" s="114"/>
      <c r="D30" s="76">
        <v>366916</v>
      </c>
      <c r="E30" s="76">
        <v>366916</v>
      </c>
      <c r="F30" s="76">
        <v>287516</v>
      </c>
      <c r="G30" s="112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">
      <c r="A31" s="100" t="s">
        <v>109</v>
      </c>
      <c r="B31" s="54" t="s">
        <v>660</v>
      </c>
      <c r="C31" s="114"/>
      <c r="D31" s="76">
        <v>296700</v>
      </c>
      <c r="E31" s="76">
        <v>296700</v>
      </c>
      <c r="F31" s="76">
        <v>0</v>
      </c>
      <c r="G31" s="112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">
      <c r="A32" s="100" t="s">
        <v>112</v>
      </c>
      <c r="B32" s="54" t="s">
        <v>661</v>
      </c>
      <c r="C32" s="114"/>
      <c r="D32" s="76">
        <v>217200</v>
      </c>
      <c r="E32" s="76">
        <v>217200</v>
      </c>
      <c r="F32" s="76">
        <v>139200</v>
      </c>
      <c r="G32" s="112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">
      <c r="A33" s="100" t="s">
        <v>112</v>
      </c>
      <c r="B33" s="54" t="s">
        <v>662</v>
      </c>
      <c r="C33" s="114"/>
      <c r="D33" s="76">
        <v>145939</v>
      </c>
      <c r="E33" s="76">
        <v>145939</v>
      </c>
      <c r="F33" s="76">
        <v>85939</v>
      </c>
      <c r="G33" s="112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">
      <c r="A34" s="100" t="s">
        <v>109</v>
      </c>
      <c r="B34" s="54" t="s">
        <v>663</v>
      </c>
      <c r="C34" s="114"/>
      <c r="D34" s="76">
        <v>500000</v>
      </c>
      <c r="E34" s="76">
        <v>500000</v>
      </c>
      <c r="F34" s="76">
        <v>200000</v>
      </c>
      <c r="G34" s="112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">
      <c r="A35" s="100" t="s">
        <v>109</v>
      </c>
      <c r="B35" s="54" t="s">
        <v>613</v>
      </c>
      <c r="C35" s="114"/>
      <c r="D35" s="76">
        <v>971520</v>
      </c>
      <c r="E35" s="76">
        <v>971520</v>
      </c>
      <c r="F35" s="76">
        <v>603520</v>
      </c>
      <c r="G35" s="112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">
      <c r="A36" s="100" t="s">
        <v>113</v>
      </c>
      <c r="B36" s="54" t="s">
        <v>668</v>
      </c>
      <c r="C36" s="114"/>
      <c r="D36" s="76">
        <v>900000</v>
      </c>
      <c r="E36" s="76">
        <v>900000</v>
      </c>
      <c r="F36" s="76">
        <v>900000</v>
      </c>
      <c r="G36" s="112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">
      <c r="A37" s="100" t="s">
        <v>109</v>
      </c>
      <c r="B37" s="54" t="s">
        <v>664</v>
      </c>
      <c r="C37" s="114"/>
      <c r="D37" s="76">
        <v>1000000</v>
      </c>
      <c r="E37" s="76">
        <v>1000000</v>
      </c>
      <c r="F37" s="76">
        <v>900000</v>
      </c>
      <c r="G37" s="112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">
      <c r="A38" s="100" t="s">
        <v>112</v>
      </c>
      <c r="B38" s="54" t="s">
        <v>669</v>
      </c>
      <c r="C38" s="114"/>
      <c r="D38" s="76">
        <v>662000</v>
      </c>
      <c r="E38" s="76">
        <v>662000</v>
      </c>
      <c r="F38" s="76">
        <v>312000</v>
      </c>
      <c r="G38" s="112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">
      <c r="A39" s="100" t="s">
        <v>110</v>
      </c>
      <c r="B39" s="54" t="s">
        <v>548</v>
      </c>
      <c r="C39" s="114"/>
      <c r="D39" s="76">
        <v>269250</v>
      </c>
      <c r="E39" s="76">
        <v>269250</v>
      </c>
      <c r="F39" s="76">
        <v>269250</v>
      </c>
      <c r="G39" s="112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5">
      <c r="A40" s="100" t="s">
        <v>112</v>
      </c>
      <c r="B40" s="54" t="s">
        <v>537</v>
      </c>
      <c r="C40" s="114"/>
      <c r="D40" s="76">
        <v>500000</v>
      </c>
      <c r="E40" s="76">
        <v>500000</v>
      </c>
      <c r="F40" s="76">
        <v>450000</v>
      </c>
      <c r="G40" s="112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5">
      <c r="A41" s="100" t="s">
        <v>111</v>
      </c>
      <c r="B41" s="54" t="s">
        <v>464</v>
      </c>
      <c r="C41" s="114"/>
      <c r="D41" s="76">
        <v>2034150</v>
      </c>
      <c r="E41" s="76">
        <v>2034150</v>
      </c>
      <c r="F41" s="76">
        <v>0</v>
      </c>
      <c r="G41" s="112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5.75">
      <c r="A42" s="100"/>
      <c r="B42" s="54"/>
      <c r="C42" s="75"/>
      <c r="D42" s="76"/>
      <c r="E42" s="76"/>
      <c r="F42" s="76"/>
      <c r="G42" s="112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.75">
      <c r="A43" s="100"/>
      <c r="B43" s="75"/>
      <c r="C43" s="53"/>
      <c r="D43" s="76"/>
      <c r="E43" s="53"/>
      <c r="F43" s="9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5">
      <c r="A44" s="100"/>
      <c r="B44" s="53"/>
      <c r="C44" s="53"/>
      <c r="D44" s="80">
        <f>SUM(D17:D42)</f>
        <v>13526420</v>
      </c>
      <c r="E44" s="80">
        <f>SUM(E17:E42)</f>
        <v>13526420</v>
      </c>
      <c r="F44" s="96">
        <f>SUM(F17:F42)</f>
        <v>8271990</v>
      </c>
      <c r="G44" s="80">
        <f>SUM(G17:G41)</f>
        <v>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>
      <c r="A45" s="100"/>
      <c r="B45" s="53"/>
      <c r="C45" s="53"/>
      <c r="D45" s="80"/>
      <c r="E45" s="80"/>
      <c r="F45" s="90"/>
      <c r="G45" s="80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.75">
      <c r="A46" s="100"/>
      <c r="B46" s="53"/>
      <c r="C46" s="53"/>
      <c r="D46" s="83"/>
      <c r="E46" s="54"/>
      <c r="F46" s="92"/>
      <c r="G46" s="76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">
      <c r="A47" s="100"/>
      <c r="B47" s="20"/>
      <c r="C47" s="20"/>
      <c r="D47" s="84">
        <f>D13-D44</f>
        <v>390403.65642855875</v>
      </c>
      <c r="E47" s="84">
        <f>D13-E44</f>
        <v>390403.65642855875</v>
      </c>
      <c r="F47" s="97">
        <f>D13-F44</f>
        <v>5644833.656428559</v>
      </c>
      <c r="G47" s="84">
        <f>D13-G44</f>
        <v>13916823.656428559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15">
      <c r="A48" s="100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">
      <c r="A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">
      <c r="A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">
      <c r="A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">
      <c r="A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">
      <c r="A53" s="20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8:17" ht="15"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8:17" ht="15"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8:17" ht="15"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8:17" ht="15"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8:17" ht="15"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8:17" ht="15"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8:17" ht="15"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8:17" ht="15"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8:17" ht="15"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8:17" ht="15"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8:17" ht="15"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8:17" ht="15"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8:17" ht="15"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8:17" ht="15">
      <c r="H67" s="53"/>
      <c r="I67" s="101"/>
      <c r="J67" s="53"/>
      <c r="K67" s="53"/>
      <c r="L67" s="53"/>
      <c r="M67" s="53"/>
      <c r="N67" s="53"/>
      <c r="O67" s="53"/>
      <c r="P67" s="53"/>
      <c r="Q67" s="53"/>
    </row>
    <row r="68" spans="8:17" ht="15"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8:17" ht="15"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20" customFormat="1" ht="13.5" customHeight="1">
      <c r="A70"/>
      <c r="B70"/>
      <c r="C70"/>
      <c r="D70"/>
      <c r="E70"/>
      <c r="F70" s="95"/>
      <c r="G70"/>
      <c r="H70" s="53"/>
      <c r="I70" s="53"/>
      <c r="J70" s="53"/>
      <c r="K70" s="53"/>
      <c r="L70" s="53"/>
      <c r="M70" s="53"/>
      <c r="N70" s="53"/>
      <c r="O70" s="53"/>
      <c r="P70" s="53"/>
      <c r="Q70" s="53"/>
    </row>
  </sheetData>
  <sheetProtection/>
  <mergeCells count="5">
    <mergeCell ref="Q13:Q14"/>
    <mergeCell ref="D15:E15"/>
    <mergeCell ref="I13:I14"/>
    <mergeCell ref="J13:J14"/>
    <mergeCell ref="K13:P13"/>
  </mergeCells>
  <conditionalFormatting sqref="L15">
    <cfRule type="cellIs" priority="15" dxfId="0" operator="greaterThan" stopIfTrue="1">
      <formula>$Q$15</formula>
    </cfRule>
  </conditionalFormatting>
  <conditionalFormatting sqref="L16">
    <cfRule type="cellIs" priority="14" dxfId="0" operator="greaterThan" stopIfTrue="1">
      <formula>$Q$16</formula>
    </cfRule>
  </conditionalFormatting>
  <conditionalFormatting sqref="L17">
    <cfRule type="cellIs" priority="13" dxfId="0" operator="greaterThan" stopIfTrue="1">
      <formula>$Q$17</formula>
    </cfRule>
  </conditionalFormatting>
  <conditionalFormatting sqref="L18">
    <cfRule type="cellIs" priority="12" dxfId="0" operator="greaterThan" stopIfTrue="1">
      <formula>$Q$18</formula>
    </cfRule>
  </conditionalFormatting>
  <conditionalFormatting sqref="L19">
    <cfRule type="cellIs" priority="11" dxfId="0" operator="greaterThan" stopIfTrue="1">
      <formula>$Q$19</formula>
    </cfRule>
  </conditionalFormatting>
  <conditionalFormatting sqref="N15">
    <cfRule type="cellIs" priority="10" dxfId="0" operator="greaterThan" stopIfTrue="1">
      <formula>$Q$15</formula>
    </cfRule>
  </conditionalFormatting>
  <conditionalFormatting sqref="N16">
    <cfRule type="cellIs" priority="9" dxfId="0" operator="greaterThan" stopIfTrue="1">
      <formula>$Q$16</formula>
    </cfRule>
  </conditionalFormatting>
  <conditionalFormatting sqref="N17">
    <cfRule type="cellIs" priority="8" dxfId="0" operator="greaterThan" stopIfTrue="1">
      <formula>$Q$17</formula>
    </cfRule>
  </conditionalFormatting>
  <conditionalFormatting sqref="N18">
    <cfRule type="cellIs" priority="7" dxfId="0" operator="greaterThan" stopIfTrue="1">
      <formula>$Q$18</formula>
    </cfRule>
  </conditionalFormatting>
  <conditionalFormatting sqref="N19">
    <cfRule type="cellIs" priority="6" dxfId="0" operator="greaterThan" stopIfTrue="1">
      <formula>$Q$19</formula>
    </cfRule>
  </conditionalFormatting>
  <conditionalFormatting sqref="P15">
    <cfRule type="cellIs" priority="5" dxfId="0" operator="greaterThan" stopIfTrue="1">
      <formula>$Q$15</formula>
    </cfRule>
  </conditionalFormatting>
  <conditionalFormatting sqref="P16">
    <cfRule type="cellIs" priority="4" dxfId="0" operator="greaterThan" stopIfTrue="1">
      <formula>$Q$16</formula>
    </cfRule>
  </conditionalFormatting>
  <conditionalFormatting sqref="P17">
    <cfRule type="cellIs" priority="3" dxfId="0" operator="greaterThan" stopIfTrue="1">
      <formula>$Q$17</formula>
    </cfRule>
  </conditionalFormatting>
  <conditionalFormatting sqref="P18">
    <cfRule type="cellIs" priority="2" dxfId="0" operator="greaterThan" stopIfTrue="1">
      <formula>$Q$18</formula>
    </cfRule>
  </conditionalFormatting>
  <conditionalFormatting sqref="P19">
    <cfRule type="cellIs" priority="1" dxfId="0" operator="greaterThan" stopIfTrue="1">
      <formula>$Q$19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36"/>
  <sheetViews>
    <sheetView zoomScalePageLayoutView="0" workbookViewId="0" topLeftCell="A7">
      <selection activeCell="E5" sqref="E5"/>
    </sheetView>
  </sheetViews>
  <sheetFormatPr defaultColWidth="9.140625" defaultRowHeight="12.75"/>
  <cols>
    <col min="3" max="3" width="41.421875" style="0" customWidth="1"/>
    <col min="4" max="4" width="17.00390625" style="0" customWidth="1"/>
    <col min="5" max="5" width="28.140625" style="0" bestFit="1" customWidth="1"/>
    <col min="6" max="6" width="13.28125" style="0" bestFit="1" customWidth="1"/>
  </cols>
  <sheetData>
    <row r="3" spans="3:5" ht="15.75">
      <c r="C3" s="6" t="s">
        <v>31</v>
      </c>
      <c r="D3" s="6"/>
      <c r="E3" s="7"/>
    </row>
    <row r="4" spans="3:5" ht="15">
      <c r="C4" s="7"/>
      <c r="D4" s="7"/>
      <c r="E4" s="7"/>
    </row>
    <row r="5" spans="3:5" ht="15">
      <c r="C5" s="7"/>
      <c r="D5" s="7"/>
      <c r="E5" s="7"/>
    </row>
    <row r="6" spans="3:5" ht="15">
      <c r="C6" s="7" t="s">
        <v>26</v>
      </c>
      <c r="D6" s="7"/>
      <c r="E6" s="15">
        <v>5670000</v>
      </c>
    </row>
    <row r="7" spans="3:5" ht="15">
      <c r="C7" s="7" t="s">
        <v>27</v>
      </c>
      <c r="D7" s="7"/>
      <c r="E7" s="16">
        <f>-(E6-E6/1.12)</f>
        <v>-607500.0000000009</v>
      </c>
    </row>
    <row r="8" spans="3:5" ht="15">
      <c r="C8" s="7" t="s">
        <v>30</v>
      </c>
      <c r="D8" s="7"/>
      <c r="E8" s="16">
        <f>'FALL 2010'!E23</f>
        <v>-449293.9500000002</v>
      </c>
    </row>
    <row r="9" spans="3:7" ht="15.75">
      <c r="C9" s="8" t="s">
        <v>29</v>
      </c>
      <c r="D9" s="8"/>
      <c r="E9" s="9">
        <f>SUM(E6:E8)</f>
        <v>4613206.049999999</v>
      </c>
      <c r="G9" s="17"/>
    </row>
    <row r="10" spans="3:5" ht="15">
      <c r="C10" s="10"/>
      <c r="D10" s="10"/>
      <c r="E10" s="11"/>
    </row>
    <row r="11" spans="3:5" ht="15">
      <c r="C11" s="8" t="s">
        <v>24</v>
      </c>
      <c r="D11" s="8"/>
      <c r="E11" s="12"/>
    </row>
    <row r="12" spans="3:5" ht="15">
      <c r="C12" s="13" t="s">
        <v>32</v>
      </c>
      <c r="D12" s="8"/>
      <c r="E12" s="12">
        <v>95753.67</v>
      </c>
    </row>
    <row r="13" spans="3:5" ht="15">
      <c r="C13" s="13" t="s">
        <v>33</v>
      </c>
      <c r="D13" s="8"/>
      <c r="E13" s="12">
        <v>195000</v>
      </c>
    </row>
    <row r="14" spans="3:5" ht="15">
      <c r="C14" s="13" t="s">
        <v>34</v>
      </c>
      <c r="D14" s="8"/>
      <c r="E14" s="12">
        <v>61000</v>
      </c>
    </row>
    <row r="15" spans="3:5" ht="15">
      <c r="C15" s="13" t="s">
        <v>35</v>
      </c>
      <c r="D15" s="8"/>
      <c r="E15" s="12">
        <v>48340</v>
      </c>
    </row>
    <row r="16" spans="3:5" ht="15">
      <c r="C16" s="13" t="s">
        <v>36</v>
      </c>
      <c r="D16" s="8"/>
      <c r="E16" s="12">
        <v>26300</v>
      </c>
    </row>
    <row r="17" spans="3:5" ht="15">
      <c r="C17" s="13" t="s">
        <v>37</v>
      </c>
      <c r="D17" s="8"/>
      <c r="E17" s="12">
        <v>2000000</v>
      </c>
    </row>
    <row r="18" spans="3:5" ht="15">
      <c r="C18" s="13" t="s">
        <v>38</v>
      </c>
      <c r="D18" s="8"/>
      <c r="E18" s="12">
        <v>274844.44</v>
      </c>
    </row>
    <row r="19" spans="3:5" ht="15">
      <c r="C19" s="13" t="s">
        <v>39</v>
      </c>
      <c r="D19" s="8"/>
      <c r="E19" s="12">
        <v>100000</v>
      </c>
    </row>
    <row r="20" spans="3:5" ht="15">
      <c r="C20" s="13" t="s">
        <v>40</v>
      </c>
      <c r="D20" s="8"/>
      <c r="E20" s="12">
        <v>82777.7</v>
      </c>
    </row>
    <row r="21" spans="3:5" ht="15">
      <c r="C21" s="13" t="s">
        <v>41</v>
      </c>
      <c r="D21" s="8"/>
      <c r="E21" s="12">
        <v>14400</v>
      </c>
    </row>
    <row r="22" spans="3:5" ht="15">
      <c r="C22" s="13" t="s">
        <v>42</v>
      </c>
      <c r="D22" s="8"/>
      <c r="E22" s="12">
        <v>0</v>
      </c>
    </row>
    <row r="23" spans="3:5" ht="15">
      <c r="C23" s="13" t="s">
        <v>43</v>
      </c>
      <c r="D23" s="8"/>
      <c r="E23" s="12">
        <v>344475</v>
      </c>
    </row>
    <row r="24" spans="3:5" ht="15">
      <c r="C24" s="13" t="s">
        <v>44</v>
      </c>
      <c r="D24" s="8"/>
      <c r="E24" s="12">
        <v>2700</v>
      </c>
    </row>
    <row r="25" spans="3:5" ht="15">
      <c r="C25" s="13" t="s">
        <v>45</v>
      </c>
      <c r="D25" s="8"/>
      <c r="E25" s="12">
        <v>44800</v>
      </c>
    </row>
    <row r="26" spans="3:5" ht="15">
      <c r="C26" s="13" t="s">
        <v>46</v>
      </c>
      <c r="D26" s="8"/>
      <c r="E26" s="12">
        <v>0</v>
      </c>
    </row>
    <row r="27" spans="3:5" ht="15">
      <c r="C27" s="13" t="s">
        <v>47</v>
      </c>
      <c r="D27" s="8"/>
      <c r="E27" s="12">
        <v>78060</v>
      </c>
    </row>
    <row r="28" spans="3:5" ht="15">
      <c r="C28" s="13" t="s">
        <v>48</v>
      </c>
      <c r="D28" s="8"/>
      <c r="E28" s="12">
        <v>39550</v>
      </c>
    </row>
    <row r="29" spans="3:5" ht="15">
      <c r="C29" s="13" t="s">
        <v>49</v>
      </c>
      <c r="D29" s="8"/>
      <c r="E29" s="12">
        <v>300000</v>
      </c>
    </row>
    <row r="30" spans="3:5" ht="15">
      <c r="C30" s="8"/>
      <c r="D30" s="8"/>
      <c r="E30" s="12"/>
    </row>
    <row r="31" spans="3:5" ht="15">
      <c r="C31" s="8" t="s">
        <v>28</v>
      </c>
      <c r="D31" s="8"/>
      <c r="E31" s="11">
        <f>SUM(E12:E29)</f>
        <v>3708000.81</v>
      </c>
    </row>
    <row r="32" spans="3:5" ht="15">
      <c r="C32" s="7"/>
      <c r="D32" s="7"/>
      <c r="E32" s="7"/>
    </row>
    <row r="33" spans="3:6" ht="15">
      <c r="C33" s="8" t="s">
        <v>5</v>
      </c>
      <c r="D33" s="8"/>
      <c r="E33" s="14">
        <f>E9-E31</f>
        <v>905205.2399999988</v>
      </c>
      <c r="F33" s="18"/>
    </row>
    <row r="36" spans="3:4" ht="12.75">
      <c r="C36" s="1"/>
      <c r="D36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0"/>
  <sheetViews>
    <sheetView zoomScalePageLayoutView="0" workbookViewId="0" topLeftCell="B1">
      <selection activeCell="E5" sqref="E5"/>
    </sheetView>
  </sheetViews>
  <sheetFormatPr defaultColWidth="9.140625" defaultRowHeight="12.75"/>
  <cols>
    <col min="3" max="3" width="39.7109375" style="0" customWidth="1"/>
    <col min="4" max="4" width="17.00390625" style="0" customWidth="1"/>
    <col min="5" max="5" width="28.140625" style="0" bestFit="1" customWidth="1"/>
    <col min="6" max="6" width="13.28125" style="0" bestFit="1" customWidth="1"/>
    <col min="9" max="9" width="12.8515625" style="0" bestFit="1" customWidth="1"/>
    <col min="11" max="11" width="12.8515625" style="0" bestFit="1" customWidth="1"/>
    <col min="13" max="13" width="12.7109375" style="0" customWidth="1"/>
  </cols>
  <sheetData>
    <row r="3" spans="3:5" ht="15.75">
      <c r="C3" s="6" t="s">
        <v>66</v>
      </c>
      <c r="D3" s="6"/>
      <c r="E3" s="7"/>
    </row>
    <row r="4" spans="3:5" ht="15">
      <c r="C4" s="7"/>
      <c r="D4" s="7"/>
      <c r="E4" s="7"/>
    </row>
    <row r="5" spans="3:5" ht="15">
      <c r="C5" s="7"/>
      <c r="D5" s="7"/>
      <c r="E5" s="7"/>
    </row>
    <row r="6" spans="3:5" ht="15">
      <c r="C6" s="7" t="s">
        <v>26</v>
      </c>
      <c r="D6" s="7"/>
      <c r="E6" s="15">
        <f>E7*E8</f>
        <v>5869600</v>
      </c>
    </row>
    <row r="7" spans="3:5" ht="15">
      <c r="C7" s="23" t="s">
        <v>55</v>
      </c>
      <c r="D7" s="7"/>
      <c r="E7" s="24">
        <v>2552</v>
      </c>
    </row>
    <row r="8" spans="3:13" ht="15">
      <c r="C8" s="23" t="s">
        <v>56</v>
      </c>
      <c r="D8" s="7"/>
      <c r="E8" s="24">
        <v>2300</v>
      </c>
      <c r="H8" s="116" t="s">
        <v>119</v>
      </c>
      <c r="I8" s="116"/>
      <c r="J8" s="116" t="s">
        <v>120</v>
      </c>
      <c r="K8" s="117"/>
      <c r="L8" s="117"/>
      <c r="M8" s="37" t="s">
        <v>126</v>
      </c>
    </row>
    <row r="9" spans="3:11" ht="15">
      <c r="C9" s="7" t="s">
        <v>27</v>
      </c>
      <c r="D9" s="7"/>
      <c r="E9" s="16">
        <f>-(E6-E6/1.12)</f>
        <v>-628885.7142857146</v>
      </c>
      <c r="H9" s="116"/>
      <c r="I9" s="116"/>
      <c r="J9" s="116"/>
      <c r="K9" s="26" t="s">
        <v>122</v>
      </c>
    </row>
    <row r="10" spans="3:13" ht="15">
      <c r="C10" s="7" t="s">
        <v>30</v>
      </c>
      <c r="D10" s="7"/>
      <c r="E10" s="16">
        <f>'SPRING 2011'!E33</f>
        <v>905205.2399999988</v>
      </c>
      <c r="H10" s="33" t="s">
        <v>112</v>
      </c>
      <c r="I10" s="23" t="s">
        <v>115</v>
      </c>
      <c r="J10">
        <f>_xlfn.COUNTIFS($B$14:$B$56,H10)</f>
        <v>0</v>
      </c>
      <c r="K10" s="27">
        <f>_xlfn.SUMIFS($E$14:$E$23,$B$14:$B$23,H10)</f>
        <v>0</v>
      </c>
      <c r="L10" s="30">
        <f>K10/$K$15</f>
        <v>0</v>
      </c>
      <c r="M10" s="31">
        <v>0.15</v>
      </c>
    </row>
    <row r="11" spans="3:13" ht="15.75">
      <c r="C11" s="8" t="s">
        <v>29</v>
      </c>
      <c r="D11" s="8"/>
      <c r="E11" s="9">
        <f>SUM(E6,E9:E10)</f>
        <v>6145919.525714284</v>
      </c>
      <c r="G11" s="17"/>
      <c r="H11" s="33" t="s">
        <v>110</v>
      </c>
      <c r="I11" s="23" t="s">
        <v>116</v>
      </c>
      <c r="J11">
        <f>_xlfn.COUNTIFS($B$14:$B$56,H11)</f>
        <v>4</v>
      </c>
      <c r="K11" s="27">
        <f>_xlfn.SUMIFS($E$14:$E$23,$B$14:$B$23,H11)</f>
        <v>258848</v>
      </c>
      <c r="L11" s="30">
        <f>K11/$K$15</f>
        <v>0.07039937163621805</v>
      </c>
      <c r="M11" s="31">
        <v>0.2</v>
      </c>
    </row>
    <row r="12" spans="3:13" ht="15">
      <c r="C12" s="10"/>
      <c r="D12" s="10"/>
      <c r="E12" s="11"/>
      <c r="H12" s="33" t="s">
        <v>109</v>
      </c>
      <c r="I12" s="23" t="s">
        <v>117</v>
      </c>
      <c r="J12">
        <f>_xlfn.COUNTIFS($B$14:$B$56,H12)</f>
        <v>2</v>
      </c>
      <c r="K12" s="27">
        <f>_xlfn.SUMIFS($E$14:$E$23,$B$14:$B$23,H12)</f>
        <v>2546466</v>
      </c>
      <c r="L12" s="30">
        <f>K12/$K$15</f>
        <v>0.6925670906979913</v>
      </c>
      <c r="M12" s="31">
        <v>0.45</v>
      </c>
    </row>
    <row r="13" spans="3:13" ht="15">
      <c r="C13" s="8" t="s">
        <v>24</v>
      </c>
      <c r="D13" s="8"/>
      <c r="E13" s="12"/>
      <c r="H13" s="33" t="s">
        <v>111</v>
      </c>
      <c r="I13" s="23" t="s">
        <v>118</v>
      </c>
      <c r="J13">
        <f>_xlfn.COUNTIFS($B$14:$B$56,H13)</f>
        <v>4</v>
      </c>
      <c r="K13" s="27">
        <f>_xlfn.SUMIFS($E$14:$E$23,$B$14:$B$23,H13)</f>
        <v>871537</v>
      </c>
      <c r="L13" s="30">
        <f>K13/$K$15</f>
        <v>0.23703353766579063</v>
      </c>
      <c r="M13" s="31">
        <v>0.2</v>
      </c>
    </row>
    <row r="14" spans="2:13" ht="15.75">
      <c r="B14" s="33" t="s">
        <v>111</v>
      </c>
      <c r="C14" s="22" t="s">
        <v>57</v>
      </c>
      <c r="D14" s="8"/>
      <c r="E14" s="12">
        <v>75115</v>
      </c>
      <c r="H14" s="33"/>
      <c r="I14" s="23"/>
      <c r="K14" s="27"/>
      <c r="L14" s="30"/>
      <c r="M14" s="31"/>
    </row>
    <row r="15" spans="2:13" ht="15.75">
      <c r="B15" s="33" t="s">
        <v>110</v>
      </c>
      <c r="C15" s="22" t="s">
        <v>58</v>
      </c>
      <c r="D15" s="8"/>
      <c r="E15" s="12">
        <v>49610</v>
      </c>
      <c r="I15" s="29" t="s">
        <v>124</v>
      </c>
      <c r="J15" s="28">
        <f>SUM(J10:J14)</f>
        <v>10</v>
      </c>
      <c r="K15" s="28">
        <f>SUM(K10:K14)</f>
        <v>3676851</v>
      </c>
      <c r="M15" s="31"/>
    </row>
    <row r="16" spans="2:5" ht="15.75">
      <c r="B16" s="33" t="s">
        <v>111</v>
      </c>
      <c r="C16" s="22" t="s">
        <v>59</v>
      </c>
      <c r="D16" s="8"/>
      <c r="E16" s="12">
        <v>416667</v>
      </c>
    </row>
    <row r="17" spans="2:5" ht="15.75">
      <c r="B17" s="33" t="s">
        <v>111</v>
      </c>
      <c r="C17" s="22" t="s">
        <v>60</v>
      </c>
      <c r="D17" s="8"/>
      <c r="E17" s="12">
        <v>66755</v>
      </c>
    </row>
    <row r="18" spans="2:5" ht="15.75">
      <c r="B18" s="33" t="s">
        <v>109</v>
      </c>
      <c r="C18" s="22" t="s">
        <v>61</v>
      </c>
      <c r="D18" s="8"/>
      <c r="E18" s="12">
        <v>2052700</v>
      </c>
    </row>
    <row r="19" spans="2:5" ht="15.75">
      <c r="B19" s="33" t="s">
        <v>110</v>
      </c>
      <c r="C19" s="22" t="s">
        <v>62</v>
      </c>
      <c r="D19" s="8"/>
      <c r="E19" s="12">
        <v>17290</v>
      </c>
    </row>
    <row r="20" spans="2:5" ht="15.75">
      <c r="B20" s="33" t="s">
        <v>111</v>
      </c>
      <c r="C20" s="22" t="s">
        <v>54</v>
      </c>
      <c r="D20" s="8"/>
      <c r="E20" s="12">
        <v>313000</v>
      </c>
    </row>
    <row r="21" spans="2:5" ht="15.75">
      <c r="B21" s="33" t="s">
        <v>109</v>
      </c>
      <c r="C21" s="22" t="s">
        <v>63</v>
      </c>
      <c r="D21" s="8"/>
      <c r="E21" s="12">
        <v>493766</v>
      </c>
    </row>
    <row r="22" spans="2:5" ht="15.75">
      <c r="B22" s="33" t="s">
        <v>110</v>
      </c>
      <c r="C22" s="22" t="s">
        <v>64</v>
      </c>
      <c r="D22" s="8"/>
      <c r="E22" s="12">
        <v>11330</v>
      </c>
    </row>
    <row r="23" spans="2:5" ht="15.75">
      <c r="B23" s="33" t="s">
        <v>110</v>
      </c>
      <c r="C23" s="22" t="s">
        <v>65</v>
      </c>
      <c r="D23" s="8"/>
      <c r="E23" s="12">
        <v>180618</v>
      </c>
    </row>
    <row r="24" spans="3:5" ht="15">
      <c r="C24" s="8"/>
      <c r="D24" s="8"/>
      <c r="E24" s="12"/>
    </row>
    <row r="25" spans="3:5" ht="15">
      <c r="C25" s="8" t="s">
        <v>28</v>
      </c>
      <c r="D25" s="8"/>
      <c r="E25" s="11">
        <f>SUM(E14:E23)</f>
        <v>3676851</v>
      </c>
    </row>
    <row r="26" spans="3:5" ht="15">
      <c r="C26" s="7"/>
      <c r="D26" s="7"/>
      <c r="E26" s="7"/>
    </row>
    <row r="27" spans="3:6" ht="15">
      <c r="C27" s="8" t="s">
        <v>5</v>
      </c>
      <c r="D27" s="8"/>
      <c r="E27" s="14">
        <f>E11-E25</f>
        <v>2469068.525714284</v>
      </c>
      <c r="F27" s="18"/>
    </row>
    <row r="30" spans="3:4" ht="12.75">
      <c r="C30" s="1"/>
      <c r="D30" s="1"/>
    </row>
  </sheetData>
  <sheetProtection/>
  <mergeCells count="3">
    <mergeCell ref="H8:I9"/>
    <mergeCell ref="J8:J9"/>
    <mergeCell ref="K8:L8"/>
  </mergeCells>
  <conditionalFormatting sqref="L10">
    <cfRule type="cellIs" priority="4" dxfId="0" operator="greaterThan" stopIfTrue="1">
      <formula>$M$10</formula>
    </cfRule>
  </conditionalFormatting>
  <conditionalFormatting sqref="L11">
    <cfRule type="cellIs" priority="3" dxfId="0" operator="greaterThan" stopIfTrue="1">
      <formula>$M$11</formula>
    </cfRule>
  </conditionalFormatting>
  <conditionalFormatting sqref="L12">
    <cfRule type="cellIs" priority="2" dxfId="0" operator="greaterThan" stopIfTrue="1">
      <formula>$M$12</formula>
    </cfRule>
  </conditionalFormatting>
  <conditionalFormatting sqref="L13">
    <cfRule type="cellIs" priority="1" dxfId="0" operator="greaterThan" stopIfTrue="1">
      <formula>$M$13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4"/>
  <sheetViews>
    <sheetView zoomScalePageLayoutView="0" workbookViewId="0" topLeftCell="A19">
      <selection activeCell="E5" sqref="E5"/>
    </sheetView>
  </sheetViews>
  <sheetFormatPr defaultColWidth="9.140625" defaultRowHeight="12.75"/>
  <cols>
    <col min="3" max="3" width="39.7109375" style="0" customWidth="1"/>
    <col min="4" max="4" width="17.00390625" style="0" customWidth="1"/>
    <col min="5" max="6" width="28.140625" style="0" bestFit="1" customWidth="1"/>
    <col min="8" max="8" width="14.140625" style="0" customWidth="1"/>
    <col min="9" max="9" width="8.8515625" style="0" customWidth="1"/>
    <col min="10" max="10" width="13.8515625" style="0" customWidth="1"/>
    <col min="11" max="11" width="4.00390625" style="0" customWidth="1"/>
    <col min="12" max="12" width="12.8515625" style="0" bestFit="1" customWidth="1"/>
    <col min="13" max="13" width="4.57421875" style="0" customWidth="1"/>
    <col min="14" max="14" width="12.7109375" style="0" bestFit="1" customWidth="1"/>
  </cols>
  <sheetData>
    <row r="3" spans="3:5" ht="15.75">
      <c r="C3" s="6" t="s">
        <v>100</v>
      </c>
      <c r="D3" s="6"/>
      <c r="E3" s="7"/>
    </row>
    <row r="4" spans="3:5" ht="15">
      <c r="C4" s="7"/>
      <c r="D4" s="7"/>
      <c r="E4" s="7"/>
    </row>
    <row r="5" spans="3:5" ht="15">
      <c r="C5" s="7"/>
      <c r="D5" s="7"/>
      <c r="E5" s="7"/>
    </row>
    <row r="6" spans="3:5" ht="15">
      <c r="C6" s="7" t="s">
        <v>26</v>
      </c>
      <c r="D6" s="7"/>
      <c r="E6" s="15">
        <f>E7*E8</f>
        <v>5540700</v>
      </c>
    </row>
    <row r="7" spans="3:7" ht="12.75">
      <c r="C7" s="23" t="s">
        <v>55</v>
      </c>
      <c r="D7" s="36" t="s">
        <v>128</v>
      </c>
      <c r="E7" s="24">
        <v>2409</v>
      </c>
      <c r="F7" s="36" t="s">
        <v>129</v>
      </c>
      <c r="G7" s="24">
        <v>2448</v>
      </c>
    </row>
    <row r="8" spans="3:5" ht="15">
      <c r="C8" s="23" t="s">
        <v>56</v>
      </c>
      <c r="D8" s="7"/>
      <c r="E8" s="24">
        <v>2300</v>
      </c>
    </row>
    <row r="9" spans="3:6" ht="15">
      <c r="C9" s="7" t="s">
        <v>27</v>
      </c>
      <c r="D9" s="7"/>
      <c r="E9" s="16">
        <f>-(E6-E6/1.12)</f>
        <v>-593646.4285714291</v>
      </c>
      <c r="F9" s="17"/>
    </row>
    <row r="10" spans="3:5" ht="15">
      <c r="C10" s="7" t="s">
        <v>30</v>
      </c>
      <c r="D10" s="7"/>
      <c r="E10" s="16">
        <f>'FALL 2011'!E27</f>
        <v>2469068.525714284</v>
      </c>
    </row>
    <row r="11" spans="3:14" ht="15.75">
      <c r="C11" s="8" t="s">
        <v>29</v>
      </c>
      <c r="D11" s="8"/>
      <c r="E11" s="9">
        <f>SUM(E6,E9:E10)</f>
        <v>7416122.097142855</v>
      </c>
      <c r="G11" s="116" t="s">
        <v>119</v>
      </c>
      <c r="H11" s="116"/>
      <c r="I11" s="116" t="s">
        <v>120</v>
      </c>
      <c r="J11" s="117" t="s">
        <v>123</v>
      </c>
      <c r="K11" s="117"/>
      <c r="L11" s="117"/>
      <c r="M11" s="117"/>
      <c r="N11" s="25" t="s">
        <v>126</v>
      </c>
    </row>
    <row r="12" spans="3:12" ht="15">
      <c r="C12" s="10"/>
      <c r="D12" s="10"/>
      <c r="E12" s="11"/>
      <c r="G12" s="116"/>
      <c r="H12" s="116"/>
      <c r="I12" s="116"/>
      <c r="J12" s="26" t="s">
        <v>121</v>
      </c>
      <c r="K12" s="26"/>
      <c r="L12" s="26" t="s">
        <v>122</v>
      </c>
    </row>
    <row r="13" spans="3:14" ht="15.75">
      <c r="C13" s="8" t="s">
        <v>24</v>
      </c>
      <c r="D13" s="8"/>
      <c r="E13" s="34" t="s">
        <v>127</v>
      </c>
      <c r="F13" s="34" t="s">
        <v>122</v>
      </c>
      <c r="G13" s="33" t="s">
        <v>112</v>
      </c>
      <c r="H13" s="23" t="s">
        <v>115</v>
      </c>
      <c r="I13">
        <f>_xlfn.COUNTIFS($B$14:$B$57,G13)</f>
        <v>8</v>
      </c>
      <c r="J13" s="27">
        <f>_xlfn.SUMIFS($E$14:$E$57,$B$14:$B$57,G13)</f>
        <v>1083000</v>
      </c>
      <c r="K13" s="30">
        <f>J13/$J$18</f>
        <v>0.14884347383900717</v>
      </c>
      <c r="L13" s="27">
        <f>_xlfn.SUMIFS($F$14:$F$57,$B$14:$B$57,G13)</f>
        <v>882152</v>
      </c>
      <c r="M13" s="30">
        <f>L13/$L$18</f>
        <v>0.13547250873355338</v>
      </c>
      <c r="N13" s="31">
        <v>0.15</v>
      </c>
    </row>
    <row r="14" spans="2:14" ht="15.75">
      <c r="B14" s="33" t="s">
        <v>109</v>
      </c>
      <c r="C14" s="22" t="s">
        <v>68</v>
      </c>
      <c r="D14" s="8"/>
      <c r="E14" s="12">
        <v>650000</v>
      </c>
      <c r="F14" s="39">
        <v>649350</v>
      </c>
      <c r="G14" s="33" t="s">
        <v>110</v>
      </c>
      <c r="H14" s="23" t="s">
        <v>116</v>
      </c>
      <c r="I14">
        <f>_xlfn.COUNTIFS($B$14:$B$57,G14)</f>
        <v>10</v>
      </c>
      <c r="J14" s="27">
        <f>_xlfn.SUMIFS($E$14:$E$57,$B$14:$B$57,G14)</f>
        <v>946200</v>
      </c>
      <c r="K14" s="30">
        <f>J14/$J$18</f>
        <v>0.1300421929330273</v>
      </c>
      <c r="L14" s="27">
        <f>_xlfn.SUMIFS($F$14:$F$57,$B$14:$B$57,G14)</f>
        <v>784935</v>
      </c>
      <c r="M14" s="30">
        <f>L14/$L$18</f>
        <v>0.12054284708618437</v>
      </c>
      <c r="N14" s="31">
        <v>0.2</v>
      </c>
    </row>
    <row r="15" spans="2:14" ht="15.75">
      <c r="B15" s="33" t="s">
        <v>109</v>
      </c>
      <c r="C15" s="22" t="s">
        <v>69</v>
      </c>
      <c r="D15" s="8"/>
      <c r="E15" s="12"/>
      <c r="F15" s="39"/>
      <c r="G15" s="33" t="s">
        <v>109</v>
      </c>
      <c r="H15" s="23" t="s">
        <v>117</v>
      </c>
      <c r="I15">
        <f>_xlfn.COUNTIFS($B$14:$B$57,G15)</f>
        <v>13</v>
      </c>
      <c r="J15" s="27">
        <f>_xlfn.SUMIFS($E$14:$E$57,$B$14:$B$57,G15)</f>
        <v>3004500</v>
      </c>
      <c r="K15" s="30">
        <f>J15/$J$18</f>
        <v>0.4129272549855005</v>
      </c>
      <c r="L15" s="27">
        <f>_xlfn.SUMIFS($F$14:$F$57,$B$14:$B$57,G15)</f>
        <v>2558181</v>
      </c>
      <c r="M15" s="30">
        <f>L15/$L$18</f>
        <v>0.3928610918124204</v>
      </c>
      <c r="N15" s="31">
        <v>0.45</v>
      </c>
    </row>
    <row r="16" spans="2:14" ht="15.75">
      <c r="B16" s="33" t="s">
        <v>109</v>
      </c>
      <c r="C16" s="22" t="s">
        <v>70</v>
      </c>
      <c r="D16" s="8"/>
      <c r="E16" s="12">
        <v>490000</v>
      </c>
      <c r="F16" s="39">
        <v>358521</v>
      </c>
      <c r="G16" s="33" t="s">
        <v>111</v>
      </c>
      <c r="H16" s="23" t="s">
        <v>118</v>
      </c>
      <c r="I16">
        <f>_xlfn.COUNTIFS($B$14:$B$57,G16)</f>
        <v>13</v>
      </c>
      <c r="J16" s="27">
        <f>_xlfn.SUMIFS($E$14:$E$57,$B$14:$B$57,G16)</f>
        <v>2242400</v>
      </c>
      <c r="K16" s="30">
        <f>J16/$J$18</f>
        <v>0.30818707824246505</v>
      </c>
      <c r="L16" s="27">
        <f>_xlfn.SUMIFS($F$14:$F$57,$B$14:$B$57,G16)</f>
        <v>2286400</v>
      </c>
      <c r="M16" s="32">
        <f>L16/$L$18</f>
        <v>0.3511235523678419</v>
      </c>
      <c r="N16" s="31">
        <v>0.2</v>
      </c>
    </row>
    <row r="17" spans="2:14" ht="15.75">
      <c r="B17" s="33" t="s">
        <v>110</v>
      </c>
      <c r="C17" s="22" t="s">
        <v>71</v>
      </c>
      <c r="D17" s="8"/>
      <c r="E17" s="12"/>
      <c r="F17" s="39"/>
      <c r="G17" s="33" t="s">
        <v>113</v>
      </c>
      <c r="H17" s="23" t="s">
        <v>125</v>
      </c>
      <c r="I17">
        <f>_xlfn.COUNTIFS($B$14:$B$57,G17)</f>
        <v>0</v>
      </c>
      <c r="J17" s="27">
        <f>_xlfn.SUMIFS($E$14:$E$57,$B$14:$B$57,G17)</f>
        <v>0</v>
      </c>
      <c r="K17" s="30">
        <f>J17/$J$18</f>
        <v>0</v>
      </c>
      <c r="L17" s="27">
        <f>_xlfn.SUMIFS($F$14:$F$57,$B$14:$B$57,G17)</f>
        <v>0</v>
      </c>
      <c r="M17" s="30">
        <f>L17/$L$18</f>
        <v>0</v>
      </c>
      <c r="N17" s="31"/>
    </row>
    <row r="18" spans="2:14" ht="15.75">
      <c r="B18" s="33" t="s">
        <v>110</v>
      </c>
      <c r="C18" s="22" t="s">
        <v>72</v>
      </c>
      <c r="D18" s="8"/>
      <c r="E18" s="12"/>
      <c r="F18" s="39"/>
      <c r="H18" s="29" t="s">
        <v>124</v>
      </c>
      <c r="I18" s="28">
        <f>SUM(I13:I17)</f>
        <v>44</v>
      </c>
      <c r="J18" s="28">
        <f>SUM(J13:J17)</f>
        <v>7276100</v>
      </c>
      <c r="K18" s="28"/>
      <c r="L18" s="28">
        <f>SUM(L13:L17)</f>
        <v>6511668</v>
      </c>
      <c r="N18" s="31"/>
    </row>
    <row r="19" spans="2:6" ht="15.75">
      <c r="B19" s="33" t="s">
        <v>110</v>
      </c>
      <c r="C19" s="22" t="s">
        <v>73</v>
      </c>
      <c r="D19" s="8"/>
      <c r="E19" s="12"/>
      <c r="F19" s="39"/>
    </row>
    <row r="20" spans="2:6" ht="15.75">
      <c r="B20" s="33" t="s">
        <v>110</v>
      </c>
      <c r="C20" s="22" t="s">
        <v>74</v>
      </c>
      <c r="D20" s="8"/>
      <c r="E20" s="12">
        <v>67000</v>
      </c>
      <c r="F20" s="39">
        <v>65652</v>
      </c>
    </row>
    <row r="21" spans="2:6" ht="15.75">
      <c r="B21" s="33" t="s">
        <v>111</v>
      </c>
      <c r="C21" s="22" t="s">
        <v>75</v>
      </c>
      <c r="D21" s="8"/>
      <c r="E21" s="12"/>
      <c r="F21" s="39"/>
    </row>
    <row r="22" spans="2:6" ht="15.75">
      <c r="B22" s="33" t="s">
        <v>111</v>
      </c>
      <c r="C22" s="22" t="s">
        <v>76</v>
      </c>
      <c r="D22" s="8"/>
      <c r="E22" s="12"/>
      <c r="F22" s="39"/>
    </row>
    <row r="23" spans="2:6" ht="15.75">
      <c r="B23" s="33" t="s">
        <v>111</v>
      </c>
      <c r="C23" s="22" t="s">
        <v>77</v>
      </c>
      <c r="D23" s="8"/>
      <c r="E23" s="12">
        <v>150000</v>
      </c>
      <c r="F23" s="39"/>
    </row>
    <row r="24" spans="2:6" ht="15.75">
      <c r="B24" s="33" t="s">
        <v>110</v>
      </c>
      <c r="C24" s="22" t="s">
        <v>78</v>
      </c>
      <c r="D24" s="8"/>
      <c r="E24" s="12">
        <v>135000</v>
      </c>
      <c r="F24" s="39">
        <v>130000</v>
      </c>
    </row>
    <row r="25" spans="2:6" ht="15.75">
      <c r="B25" s="33" t="s">
        <v>110</v>
      </c>
      <c r="C25" s="22" t="s">
        <v>79</v>
      </c>
      <c r="D25" s="8"/>
      <c r="E25" s="12">
        <v>137000</v>
      </c>
      <c r="F25" s="40"/>
    </row>
    <row r="26" spans="2:6" ht="15.75">
      <c r="B26" s="33" t="s">
        <v>111</v>
      </c>
      <c r="C26" s="22" t="s">
        <v>80</v>
      </c>
      <c r="D26" s="8"/>
      <c r="E26" s="12">
        <f>500000+100000+50000+27000</f>
        <v>677000</v>
      </c>
      <c r="F26" s="39">
        <v>677000</v>
      </c>
    </row>
    <row r="27" spans="2:6" ht="15.75">
      <c r="B27" s="33" t="s">
        <v>112</v>
      </c>
      <c r="C27" s="22" t="s">
        <v>81</v>
      </c>
      <c r="D27" s="8"/>
      <c r="E27" s="12"/>
      <c r="F27" s="39"/>
    </row>
    <row r="28" spans="2:6" ht="15.75">
      <c r="B28" s="33" t="s">
        <v>112</v>
      </c>
      <c r="C28" s="22" t="s">
        <v>82</v>
      </c>
      <c r="D28" s="8"/>
      <c r="E28" s="12">
        <f>180000-27000</f>
        <v>153000</v>
      </c>
      <c r="F28" s="39">
        <v>128000</v>
      </c>
    </row>
    <row r="29" spans="2:6" ht="15.75">
      <c r="B29" s="33" t="s">
        <v>111</v>
      </c>
      <c r="C29" s="22" t="s">
        <v>83</v>
      </c>
      <c r="D29" s="8"/>
      <c r="E29" s="12">
        <v>313000</v>
      </c>
      <c r="F29" s="39">
        <v>195000</v>
      </c>
    </row>
    <row r="30" spans="2:6" ht="15.75">
      <c r="B30" s="33" t="s">
        <v>109</v>
      </c>
      <c r="C30" s="22" t="s">
        <v>84</v>
      </c>
      <c r="D30" s="8"/>
      <c r="E30" s="12">
        <v>1200000</v>
      </c>
      <c r="F30" s="39">
        <v>1200000</v>
      </c>
    </row>
    <row r="31" spans="2:6" ht="15.75">
      <c r="B31" s="33" t="s">
        <v>109</v>
      </c>
      <c r="C31" s="22" t="s">
        <v>85</v>
      </c>
      <c r="D31" s="8"/>
      <c r="E31" s="12">
        <v>364500</v>
      </c>
      <c r="F31" s="39">
        <v>309760</v>
      </c>
    </row>
    <row r="32" spans="2:6" ht="15.75">
      <c r="B32" s="33" t="s">
        <v>109</v>
      </c>
      <c r="C32" s="22" t="s">
        <v>86</v>
      </c>
      <c r="D32" s="8"/>
      <c r="E32" s="12"/>
      <c r="F32" s="39"/>
    </row>
    <row r="33" spans="2:6" ht="15.75">
      <c r="B33" s="33" t="s">
        <v>109</v>
      </c>
      <c r="C33" s="22" t="s">
        <v>87</v>
      </c>
      <c r="D33" s="8"/>
      <c r="E33" s="12"/>
      <c r="F33" s="39"/>
    </row>
    <row r="34" spans="2:6" ht="15.75">
      <c r="B34" s="35" t="s">
        <v>111</v>
      </c>
      <c r="C34" s="22" t="s">
        <v>88</v>
      </c>
      <c r="D34" s="8"/>
      <c r="E34" s="12">
        <v>106000</v>
      </c>
      <c r="F34" s="39">
        <v>109000</v>
      </c>
    </row>
    <row r="35" spans="2:6" ht="15.75">
      <c r="B35" s="33" t="s">
        <v>111</v>
      </c>
      <c r="C35" s="22" t="s">
        <v>90</v>
      </c>
      <c r="D35" s="8"/>
      <c r="E35" s="12">
        <v>206400</v>
      </c>
      <c r="F35" s="39">
        <v>206400</v>
      </c>
    </row>
    <row r="36" spans="2:6" ht="15.75">
      <c r="B36" s="33" t="s">
        <v>109</v>
      </c>
      <c r="C36" s="22" t="s">
        <v>89</v>
      </c>
      <c r="D36" s="8"/>
      <c r="E36" s="12"/>
      <c r="F36" s="39"/>
    </row>
    <row r="37" spans="2:6" ht="15.75">
      <c r="B37" s="33" t="s">
        <v>109</v>
      </c>
      <c r="C37" s="22" t="s">
        <v>91</v>
      </c>
      <c r="D37" s="8"/>
      <c r="E37" s="12"/>
      <c r="F37" s="39"/>
    </row>
    <row r="38" spans="2:6" ht="15.75">
      <c r="B38" s="33" t="s">
        <v>109</v>
      </c>
      <c r="C38" s="22" t="s">
        <v>92</v>
      </c>
      <c r="D38" s="8"/>
      <c r="E38" s="12"/>
      <c r="F38" s="39"/>
    </row>
    <row r="39" spans="2:6" ht="15.75">
      <c r="B39" s="33" t="s">
        <v>111</v>
      </c>
      <c r="C39" s="22" t="s">
        <v>93</v>
      </c>
      <c r="D39" s="8"/>
      <c r="E39" s="12">
        <v>240000</v>
      </c>
      <c r="F39" s="39">
        <v>239000</v>
      </c>
    </row>
    <row r="40" spans="2:6" ht="15.75">
      <c r="B40" s="33" t="s">
        <v>111</v>
      </c>
      <c r="C40" s="22" t="s">
        <v>94</v>
      </c>
      <c r="D40" s="8"/>
      <c r="E40" s="12">
        <v>500000</v>
      </c>
      <c r="F40" s="39">
        <v>500000</v>
      </c>
    </row>
    <row r="41" spans="2:6" ht="15.75">
      <c r="B41" s="33" t="s">
        <v>111</v>
      </c>
      <c r="C41" s="22" t="s">
        <v>95</v>
      </c>
      <c r="D41" s="8"/>
      <c r="E41" s="12"/>
      <c r="F41" s="39"/>
    </row>
    <row r="42" spans="2:6" ht="15.75">
      <c r="B42" s="33" t="s">
        <v>111</v>
      </c>
      <c r="C42" s="22" t="s">
        <v>96</v>
      </c>
      <c r="D42" s="8"/>
      <c r="E42" s="12"/>
      <c r="F42" s="39"/>
    </row>
    <row r="43" spans="2:6" ht="15.75">
      <c r="B43" s="33" t="s">
        <v>109</v>
      </c>
      <c r="C43" s="22" t="s">
        <v>97</v>
      </c>
      <c r="D43" s="8"/>
      <c r="E43" s="12"/>
      <c r="F43" s="39"/>
    </row>
    <row r="44" spans="2:6" ht="15.75">
      <c r="B44" s="35" t="s">
        <v>112</v>
      </c>
      <c r="C44" s="22" t="s">
        <v>98</v>
      </c>
      <c r="D44" s="8"/>
      <c r="E44" s="12">
        <v>200000</v>
      </c>
      <c r="F44" s="39">
        <v>91000</v>
      </c>
    </row>
    <row r="45" spans="2:6" ht="15.75">
      <c r="B45" s="33" t="s">
        <v>112</v>
      </c>
      <c r="C45" s="22" t="s">
        <v>99</v>
      </c>
      <c r="D45" s="8"/>
      <c r="E45" s="12">
        <v>300000</v>
      </c>
      <c r="F45" s="39">
        <v>300000</v>
      </c>
    </row>
    <row r="46" spans="2:6" ht="15.75">
      <c r="B46" s="33" t="s">
        <v>112</v>
      </c>
      <c r="C46" s="22" t="s">
        <v>101</v>
      </c>
      <c r="D46" s="8"/>
      <c r="E46" s="12">
        <f>310000-50000</f>
        <v>260000</v>
      </c>
      <c r="F46" s="39">
        <v>240000</v>
      </c>
    </row>
    <row r="47" spans="2:6" ht="15.75">
      <c r="B47" s="33" t="s">
        <v>111</v>
      </c>
      <c r="C47" s="22" t="s">
        <v>102</v>
      </c>
      <c r="D47" s="8"/>
      <c r="E47" s="12">
        <v>50000</v>
      </c>
      <c r="F47" s="39"/>
    </row>
    <row r="48" spans="2:6" ht="15.75">
      <c r="B48" s="33" t="s">
        <v>111</v>
      </c>
      <c r="C48" s="22" t="s">
        <v>108</v>
      </c>
      <c r="D48" s="8"/>
      <c r="E48" s="12"/>
      <c r="F48" s="39">
        <v>360000</v>
      </c>
    </row>
    <row r="49" spans="2:6" ht="15.75">
      <c r="B49" s="33" t="s">
        <v>110</v>
      </c>
      <c r="C49" s="22" t="s">
        <v>103</v>
      </c>
      <c r="D49" s="8"/>
      <c r="E49" s="12">
        <v>276100</v>
      </c>
      <c r="F49" s="39">
        <v>305320</v>
      </c>
    </row>
    <row r="50" spans="2:6" ht="15.75">
      <c r="B50" s="33" t="s">
        <v>112</v>
      </c>
      <c r="C50" s="22" t="s">
        <v>104</v>
      </c>
      <c r="D50" s="8"/>
      <c r="E50" s="12">
        <v>50000</v>
      </c>
      <c r="F50" s="39">
        <v>48152</v>
      </c>
    </row>
    <row r="51" spans="2:6" ht="15.75">
      <c r="B51" s="33" t="s">
        <v>110</v>
      </c>
      <c r="C51" s="22" t="s">
        <v>105</v>
      </c>
      <c r="D51" s="8"/>
      <c r="E51" s="12">
        <v>100000</v>
      </c>
      <c r="F51" s="39">
        <v>100000</v>
      </c>
    </row>
    <row r="52" spans="2:6" ht="15.75">
      <c r="B52" s="33" t="s">
        <v>112</v>
      </c>
      <c r="C52" s="22" t="s">
        <v>106</v>
      </c>
      <c r="D52" s="8"/>
      <c r="E52" s="12">
        <v>120000</v>
      </c>
      <c r="F52" s="39"/>
    </row>
    <row r="53" spans="2:6" ht="15.75">
      <c r="B53" s="35" t="s">
        <v>110</v>
      </c>
      <c r="C53" s="22" t="s">
        <v>130</v>
      </c>
      <c r="D53" s="8"/>
      <c r="E53" s="12">
        <v>20000</v>
      </c>
      <c r="F53" s="39">
        <f>10089+5574</f>
        <v>15663</v>
      </c>
    </row>
    <row r="54" spans="2:6" ht="15.75">
      <c r="B54" s="35" t="s">
        <v>109</v>
      </c>
      <c r="C54" s="22" t="s">
        <v>114</v>
      </c>
      <c r="D54" s="8"/>
      <c r="E54" s="12">
        <v>100000</v>
      </c>
      <c r="F54" s="39">
        <v>40550</v>
      </c>
    </row>
    <row r="55" spans="2:6" ht="15.75">
      <c r="B55" s="33" t="s">
        <v>110</v>
      </c>
      <c r="C55" s="22" t="s">
        <v>131</v>
      </c>
      <c r="D55" s="8"/>
      <c r="E55" s="12">
        <v>211100</v>
      </c>
      <c r="F55" s="39">
        <v>168300</v>
      </c>
    </row>
    <row r="56" spans="2:6" ht="15.75">
      <c r="B56" s="33" t="s">
        <v>112</v>
      </c>
      <c r="C56" s="22" t="s">
        <v>132</v>
      </c>
      <c r="D56" s="8"/>
      <c r="E56" s="12"/>
      <c r="F56" s="39">
        <v>75000</v>
      </c>
    </row>
    <row r="57" spans="2:6" ht="15.75">
      <c r="B57" s="33" t="s">
        <v>109</v>
      </c>
      <c r="C57" s="22" t="s">
        <v>107</v>
      </c>
      <c r="D57" s="8"/>
      <c r="E57" s="12">
        <v>200000</v>
      </c>
      <c r="F57" s="12"/>
    </row>
    <row r="58" spans="3:5" ht="15">
      <c r="C58" s="8"/>
      <c r="D58" s="8"/>
      <c r="E58" s="12"/>
    </row>
    <row r="59" spans="3:6" ht="15">
      <c r="C59" s="8" t="s">
        <v>28</v>
      </c>
      <c r="D59" s="8"/>
      <c r="E59" s="11">
        <f>SUM(E14:E57)</f>
        <v>7276100</v>
      </c>
      <c r="F59" s="11">
        <f>SUM(F14:F57)</f>
        <v>6511668</v>
      </c>
    </row>
    <row r="60" spans="3:5" ht="15">
      <c r="C60" s="7"/>
      <c r="D60" s="7"/>
      <c r="E60" s="7"/>
    </row>
    <row r="61" spans="3:6" ht="15">
      <c r="C61" s="8" t="s">
        <v>5</v>
      </c>
      <c r="D61" s="8"/>
      <c r="E61" s="14">
        <f>E11-E59</f>
        <v>140022.0971428547</v>
      </c>
      <c r="F61" s="14">
        <f>E11-F59</f>
        <v>904454.0971428547</v>
      </c>
    </row>
    <row r="63" ht="12.75">
      <c r="F63" s="18"/>
    </row>
    <row r="64" spans="3:6" ht="12.75">
      <c r="C64" s="1"/>
      <c r="D64" s="1"/>
      <c r="F64" s="18"/>
    </row>
  </sheetData>
  <sheetProtection/>
  <mergeCells count="3">
    <mergeCell ref="G11:H12"/>
    <mergeCell ref="I11:I12"/>
    <mergeCell ref="J11:M11"/>
  </mergeCells>
  <conditionalFormatting sqref="K13 M13">
    <cfRule type="cellIs" priority="5" dxfId="0" operator="greaterThan" stopIfTrue="1">
      <formula>$N$13</formula>
    </cfRule>
  </conditionalFormatting>
  <conditionalFormatting sqref="K14 M14">
    <cfRule type="cellIs" priority="4" dxfId="0" operator="greaterThan" stopIfTrue="1">
      <formula>$N$14</formula>
    </cfRule>
  </conditionalFormatting>
  <conditionalFormatting sqref="K15 M15">
    <cfRule type="cellIs" priority="3" dxfId="0" operator="greaterThan" stopIfTrue="1">
      <formula>$N$15</formula>
    </cfRule>
  </conditionalFormatting>
  <conditionalFormatting sqref="K16 M16">
    <cfRule type="cellIs" priority="2" dxfId="0" operator="greaterThan" stopIfTrue="1">
      <formula>$N$16</formula>
    </cfRule>
  </conditionalFormatting>
  <conditionalFormatting sqref="K17 M17">
    <cfRule type="cellIs" priority="1" dxfId="0" operator="greaterThan" stopIfTrue="1">
      <formula>$N$17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00390625" style="0" customWidth="1"/>
    <col min="3" max="3" width="39.7109375" style="0" customWidth="1"/>
    <col min="4" max="4" width="17.00390625" style="0" customWidth="1"/>
    <col min="5" max="5" width="28.140625" style="0" bestFit="1" customWidth="1"/>
    <col min="6" max="6" width="26.8515625" style="0" bestFit="1" customWidth="1"/>
    <col min="7" max="7" width="28.140625" style="0" bestFit="1" customWidth="1"/>
    <col min="9" max="9" width="14.140625" style="0" customWidth="1"/>
    <col min="10" max="10" width="8.28125" style="0" customWidth="1"/>
    <col min="11" max="11" width="13.8515625" style="0" customWidth="1"/>
    <col min="12" max="12" width="4.00390625" style="0" customWidth="1"/>
    <col min="13" max="13" width="12.8515625" style="0" customWidth="1"/>
    <col min="14" max="14" width="4.00390625" style="0" customWidth="1"/>
    <col min="15" max="15" width="12.8515625" style="0" bestFit="1" customWidth="1"/>
    <col min="16" max="16" width="4.8515625" style="0" customWidth="1"/>
    <col min="17" max="17" width="12.7109375" style="0" bestFit="1" customWidth="1"/>
  </cols>
  <sheetData>
    <row r="3" spans="3:6" ht="15.75">
      <c r="C3" s="6" t="s">
        <v>133</v>
      </c>
      <c r="D3" s="6"/>
      <c r="E3" s="7"/>
      <c r="F3" s="7"/>
    </row>
    <row r="4" spans="3:6" ht="15">
      <c r="C4" s="7"/>
      <c r="D4" s="7"/>
      <c r="E4" s="7"/>
      <c r="F4" s="7"/>
    </row>
    <row r="5" spans="3:6" ht="15">
      <c r="C5" s="7"/>
      <c r="D5" s="7"/>
      <c r="E5" s="7"/>
      <c r="F5" s="7"/>
    </row>
    <row r="6" spans="3:6" ht="15">
      <c r="C6" s="7" t="s">
        <v>26</v>
      </c>
      <c r="D6" s="7"/>
      <c r="E6" s="15">
        <f>E7*E8</f>
        <v>6403320</v>
      </c>
      <c r="F6" s="15"/>
    </row>
    <row r="7" spans="3:8" ht="12.75">
      <c r="C7" s="23" t="s">
        <v>55</v>
      </c>
      <c r="D7" s="36" t="s">
        <v>128</v>
      </c>
      <c r="E7" s="24">
        <v>2541</v>
      </c>
      <c r="F7" s="24"/>
      <c r="G7" s="36" t="s">
        <v>129</v>
      </c>
      <c r="H7" s="24">
        <v>2632</v>
      </c>
    </row>
    <row r="8" spans="3:6" ht="15">
      <c r="C8" s="23" t="s">
        <v>56</v>
      </c>
      <c r="D8" s="7"/>
      <c r="E8" s="24">
        <v>2520</v>
      </c>
      <c r="F8" s="24"/>
    </row>
    <row r="9" spans="3:7" ht="15">
      <c r="C9" s="7" t="s">
        <v>27</v>
      </c>
      <c r="D9" s="7"/>
      <c r="E9" s="16">
        <f>-(E6-E6/1.12)</f>
        <v>-686070.0000000009</v>
      </c>
      <c r="F9" s="16"/>
      <c r="G9" s="17"/>
    </row>
    <row r="10" spans="3:6" ht="15">
      <c r="C10" s="7" t="s">
        <v>30</v>
      </c>
      <c r="D10" s="7"/>
      <c r="E10" s="16">
        <f>'SPRING 2012'!F61</f>
        <v>904454.0971428547</v>
      </c>
      <c r="F10" s="16"/>
    </row>
    <row r="11" spans="3:17" ht="15.75">
      <c r="C11" s="8" t="s">
        <v>29</v>
      </c>
      <c r="D11" s="8"/>
      <c r="E11" s="9">
        <f>SUM(E6,E9:E10)</f>
        <v>6621704.097142854</v>
      </c>
      <c r="F11" s="41"/>
      <c r="H11" s="116" t="s">
        <v>119</v>
      </c>
      <c r="I11" s="116"/>
      <c r="J11" s="116" t="s">
        <v>120</v>
      </c>
      <c r="K11" s="117" t="s">
        <v>123</v>
      </c>
      <c r="L11" s="117"/>
      <c r="M11" s="117"/>
      <c r="N11" s="117"/>
      <c r="O11" s="117"/>
      <c r="P11" s="117"/>
      <c r="Q11" s="25" t="s">
        <v>126</v>
      </c>
    </row>
    <row r="12" spans="3:15" ht="15.75">
      <c r="C12" s="8"/>
      <c r="D12" s="8"/>
      <c r="E12" s="41"/>
      <c r="F12" s="41"/>
      <c r="H12" s="116"/>
      <c r="I12" s="116"/>
      <c r="J12" s="116"/>
      <c r="K12" s="26" t="s">
        <v>151</v>
      </c>
      <c r="L12" s="26"/>
      <c r="M12" s="26" t="s">
        <v>152</v>
      </c>
      <c r="N12" s="26"/>
      <c r="O12" s="26" t="s">
        <v>122</v>
      </c>
    </row>
    <row r="13" spans="3:17" ht="15.75">
      <c r="C13" s="8"/>
      <c r="D13" s="8"/>
      <c r="E13" s="118" t="s">
        <v>127</v>
      </c>
      <c r="F13" s="118"/>
      <c r="G13" s="118"/>
      <c r="H13" s="33" t="s">
        <v>112</v>
      </c>
      <c r="I13" s="23" t="s">
        <v>115</v>
      </c>
      <c r="J13">
        <f>_xlfn.COUNTIFS($B$15:$B$67,H13)</f>
        <v>3</v>
      </c>
      <c r="K13" s="27">
        <f>_xlfn.SUMIFS($E$15:$E$34,$B$15:$B$34,H13)</f>
        <v>1190000</v>
      </c>
      <c r="L13" s="30">
        <f>K13/$K$18</f>
        <v>0.16816210827237457</v>
      </c>
      <c r="M13" s="27">
        <f>_xlfn.SUMIFS($F$15:$F$34,$B$15:$B$34,H13)</f>
        <v>1216000</v>
      </c>
      <c r="N13" s="30">
        <f>M13/$M$18</f>
        <v>0.21287188683618458</v>
      </c>
      <c r="O13" s="27">
        <f>_xlfn.SUMIFS($G$15:$G$34,$B$15:$B$34,H13)</f>
        <v>663361.995</v>
      </c>
      <c r="P13" s="30">
        <f>O13/$O$18</f>
        <v>0.16246681223496764</v>
      </c>
      <c r="Q13" s="31">
        <v>0.15</v>
      </c>
    </row>
    <row r="14" spans="3:17" ht="15.75">
      <c r="C14" s="8" t="s">
        <v>24</v>
      </c>
      <c r="D14" s="8"/>
      <c r="E14" s="34" t="s">
        <v>151</v>
      </c>
      <c r="F14" s="34" t="s">
        <v>150</v>
      </c>
      <c r="G14" s="34" t="s">
        <v>122</v>
      </c>
      <c r="H14" s="33" t="s">
        <v>110</v>
      </c>
      <c r="I14" s="23" t="s">
        <v>116</v>
      </c>
      <c r="J14">
        <f>_xlfn.COUNTIFS($B$15:$B$67,H14)</f>
        <v>6</v>
      </c>
      <c r="K14" s="27">
        <f>_xlfn.SUMIFS($E$15:$E$34,$B$15:$B$34,H14)</f>
        <v>394210</v>
      </c>
      <c r="L14" s="30">
        <f>K14/$K$18</f>
        <v>0.05570687790088469</v>
      </c>
      <c r="M14" s="27">
        <f>_xlfn.SUMIFS($F$15:$F$34,$B$15:$B$34,H14)</f>
        <v>293066</v>
      </c>
      <c r="N14" s="30">
        <f>M14/$M$18</f>
        <v>0.051303875318695125</v>
      </c>
      <c r="O14" s="27">
        <f>_xlfn.SUMIFS($G$15:$G$34,$B$15:$B$34,H14)</f>
        <v>179106</v>
      </c>
      <c r="P14" s="30">
        <f>O14/$O$18</f>
        <v>0.0438656134832628</v>
      </c>
      <c r="Q14" s="31">
        <v>0.2</v>
      </c>
    </row>
    <row r="15" spans="2:17" ht="15">
      <c r="B15" s="38" t="s">
        <v>110</v>
      </c>
      <c r="C15" s="42" t="s">
        <v>135</v>
      </c>
      <c r="D15" s="8"/>
      <c r="E15" s="43">
        <v>50000</v>
      </c>
      <c r="F15" s="43">
        <v>50000</v>
      </c>
      <c r="G15" s="43">
        <v>44140</v>
      </c>
      <c r="H15" s="33" t="s">
        <v>109</v>
      </c>
      <c r="I15" s="23" t="s">
        <v>117</v>
      </c>
      <c r="J15">
        <f>_xlfn.COUNTIFS($B$15:$B$67,H15)</f>
        <v>5</v>
      </c>
      <c r="K15" s="27">
        <f>_xlfn.SUMIFS($E$15:$E$34,$B$15:$B$34,H15)</f>
        <v>2656295</v>
      </c>
      <c r="L15" s="30">
        <f>K15/$K$18</f>
        <v>0.3753682078935859</v>
      </c>
      <c r="M15" s="27">
        <f>_xlfn.SUMIFS($F$15:$F$34,$B$15:$B$34,H15)</f>
        <v>2002475</v>
      </c>
      <c r="N15" s="30">
        <f>M15/$M$18</f>
        <v>0.3505515062436585</v>
      </c>
      <c r="O15" s="27">
        <f>_xlfn.SUMIFS($G$15:$G$34,$B$15:$B$34,H15)</f>
        <v>1906362.56</v>
      </c>
      <c r="P15" s="30">
        <f>O15/$O$18</f>
        <v>0.4668953760115429</v>
      </c>
      <c r="Q15" s="31">
        <v>0.45</v>
      </c>
    </row>
    <row r="16" spans="2:17" ht="15">
      <c r="B16" s="38" t="s">
        <v>109</v>
      </c>
      <c r="C16" s="42" t="s">
        <v>136</v>
      </c>
      <c r="D16" s="8"/>
      <c r="E16" s="43">
        <v>50000</v>
      </c>
      <c r="F16" s="43">
        <v>39000</v>
      </c>
      <c r="G16" s="43">
        <v>31785</v>
      </c>
      <c r="H16" s="33" t="s">
        <v>111</v>
      </c>
      <c r="I16" s="23" t="s">
        <v>118</v>
      </c>
      <c r="J16">
        <f>_xlfn.COUNTIFS($B$15:$B$67,H16)</f>
        <v>6</v>
      </c>
      <c r="K16" s="27">
        <f>_xlfn.SUMIFS($E$15:$E$34,$B$15:$B$34,H16)</f>
        <v>2836000</v>
      </c>
      <c r="L16" s="30">
        <f>K16/$K$18</f>
        <v>0.40076280593315483</v>
      </c>
      <c r="M16" s="27">
        <f>_xlfn.SUMIFS($F$15:$F$34,$B$15:$B$34,H16)</f>
        <v>2200815</v>
      </c>
      <c r="N16" s="30">
        <f>M16/$M$18</f>
        <v>0.3852727316014618</v>
      </c>
      <c r="O16" s="27">
        <f>_xlfn.SUMIFS($G$15:$G$34,$B$15:$B$34,H16)</f>
        <v>1334231</v>
      </c>
      <c r="P16" s="32">
        <f>O16/$O$18</f>
        <v>0.32677219827022663</v>
      </c>
      <c r="Q16" s="31">
        <v>0.2</v>
      </c>
    </row>
    <row r="17" spans="2:17" ht="15">
      <c r="B17" s="38" t="s">
        <v>112</v>
      </c>
      <c r="C17" s="42" t="s">
        <v>40</v>
      </c>
      <c r="D17" s="8"/>
      <c r="E17" s="43">
        <v>750000</v>
      </c>
      <c r="F17" s="43">
        <v>750000</v>
      </c>
      <c r="G17" s="43">
        <f>(845+1971.5)*193.71</f>
        <v>545584.215</v>
      </c>
      <c r="H17" s="33" t="s">
        <v>113</v>
      </c>
      <c r="I17" s="23" t="s">
        <v>125</v>
      </c>
      <c r="J17">
        <f>_xlfn.COUNTIFS($B$15:$B$67,H17)</f>
        <v>0</v>
      </c>
      <c r="K17" s="27">
        <f>_xlfn.SUMIFS($E$15:$E$34,$B$15:$B$34,H17)</f>
        <v>0</v>
      </c>
      <c r="L17" s="30">
        <f>K17/$K$18</f>
        <v>0</v>
      </c>
      <c r="M17" s="27">
        <f>_xlfn.SUMIFS($F$15:$F$34,$B$15:$B$34,H17)</f>
        <v>0</v>
      </c>
      <c r="N17" s="30">
        <f>M17/$M$18</f>
        <v>0</v>
      </c>
      <c r="O17" s="27">
        <f>_xlfn.SUMIFS($G$15:$G$34,$B$15:$B$34,H17)</f>
        <v>0</v>
      </c>
      <c r="P17" s="30">
        <f>O17/$O$18</f>
        <v>0</v>
      </c>
      <c r="Q17" s="31"/>
    </row>
    <row r="18" spans="2:17" ht="15">
      <c r="B18" s="38" t="s">
        <v>109</v>
      </c>
      <c r="C18" s="42" t="s">
        <v>6</v>
      </c>
      <c r="D18" s="8"/>
      <c r="E18" s="43">
        <v>1500000</v>
      </c>
      <c r="F18" s="43">
        <v>1092000</v>
      </c>
      <c r="G18" s="43">
        <v>1041600</v>
      </c>
      <c r="I18" s="29" t="s">
        <v>124</v>
      </c>
      <c r="J18" s="28">
        <f>SUM(J13:J17)</f>
        <v>20</v>
      </c>
      <c r="K18" s="28">
        <f>SUM(K13:K17)</f>
        <v>7076505</v>
      </c>
      <c r="L18" s="28"/>
      <c r="M18" s="28">
        <f>SUM(M13:M17)</f>
        <v>5712356</v>
      </c>
      <c r="N18" s="28"/>
      <c r="O18" s="28">
        <f>SUM(O13:O17)</f>
        <v>4083061.555</v>
      </c>
      <c r="Q18" s="31"/>
    </row>
    <row r="19" spans="2:7" ht="15">
      <c r="B19" s="38" t="s">
        <v>112</v>
      </c>
      <c r="C19" s="42" t="s">
        <v>148</v>
      </c>
      <c r="D19" s="8"/>
      <c r="E19" s="43">
        <v>440000</v>
      </c>
      <c r="F19" s="43">
        <v>360000</v>
      </c>
      <c r="G19" s="43"/>
    </row>
    <row r="20" spans="2:7" ht="15">
      <c r="B20" s="38" t="s">
        <v>111</v>
      </c>
      <c r="C20" s="42" t="s">
        <v>139</v>
      </c>
      <c r="D20" s="8"/>
      <c r="E20" s="43">
        <v>1200000</v>
      </c>
      <c r="F20" s="43">
        <v>1117000</v>
      </c>
      <c r="G20" s="43">
        <v>711916</v>
      </c>
    </row>
    <row r="21" spans="2:7" ht="15">
      <c r="B21" s="38" t="s">
        <v>111</v>
      </c>
      <c r="C21" s="42" t="s">
        <v>143</v>
      </c>
      <c r="D21" s="8"/>
      <c r="E21" s="43">
        <v>360000</v>
      </c>
      <c r="F21" s="43">
        <v>271500</v>
      </c>
      <c r="G21" s="43"/>
    </row>
    <row r="22" spans="2:7" ht="15">
      <c r="B22" s="38" t="s">
        <v>109</v>
      </c>
      <c r="C22" s="42" t="s">
        <v>144</v>
      </c>
      <c r="D22" s="8"/>
      <c r="E22" s="43">
        <v>479895</v>
      </c>
      <c r="F22" s="43">
        <v>413485</v>
      </c>
      <c r="G22" s="43">
        <v>375987.56</v>
      </c>
    </row>
    <row r="23" spans="2:7" ht="15">
      <c r="B23" s="38" t="s">
        <v>110</v>
      </c>
      <c r="C23" s="42" t="s">
        <v>146</v>
      </c>
      <c r="D23" s="8"/>
      <c r="E23" s="43">
        <v>44210</v>
      </c>
      <c r="F23" s="43">
        <v>44210</v>
      </c>
      <c r="G23" s="43">
        <v>44210</v>
      </c>
    </row>
    <row r="24" spans="2:7" ht="15">
      <c r="B24" s="38" t="s">
        <v>109</v>
      </c>
      <c r="C24" s="42" t="s">
        <v>149</v>
      </c>
      <c r="D24" s="8"/>
      <c r="E24" s="43">
        <v>40000</v>
      </c>
      <c r="F24" s="43">
        <v>28000</v>
      </c>
      <c r="G24" s="43">
        <v>27000</v>
      </c>
    </row>
    <row r="25" spans="2:7" ht="15">
      <c r="B25" s="38" t="s">
        <v>110</v>
      </c>
      <c r="C25" s="42" t="s">
        <v>155</v>
      </c>
      <c r="D25" s="8"/>
      <c r="E25" s="43"/>
      <c r="F25" s="43">
        <v>92650</v>
      </c>
      <c r="G25" s="43"/>
    </row>
    <row r="26" spans="2:7" ht="15">
      <c r="B26" s="38" t="s">
        <v>110</v>
      </c>
      <c r="C26" s="42" t="s">
        <v>154</v>
      </c>
      <c r="D26" s="8"/>
      <c r="E26" s="43"/>
      <c r="F26" s="43">
        <v>106206</v>
      </c>
      <c r="G26" s="43">
        <v>90756</v>
      </c>
    </row>
    <row r="27" spans="2:7" ht="15">
      <c r="B27" s="38" t="s">
        <v>111</v>
      </c>
      <c r="C27" s="42" t="s">
        <v>147</v>
      </c>
      <c r="D27" s="8"/>
      <c r="E27" s="43">
        <v>160000</v>
      </c>
      <c r="F27" s="43">
        <v>122000</v>
      </c>
      <c r="G27" s="43">
        <v>122000</v>
      </c>
    </row>
    <row r="28" spans="2:7" ht="15">
      <c r="B28" s="38" t="s">
        <v>111</v>
      </c>
      <c r="C28" s="42" t="s">
        <v>137</v>
      </c>
      <c r="D28" s="8"/>
      <c r="E28" s="43">
        <v>250000</v>
      </c>
      <c r="F28" s="43"/>
      <c r="G28" s="43"/>
    </row>
    <row r="29" spans="2:7" ht="15">
      <c r="B29" s="38" t="s">
        <v>111</v>
      </c>
      <c r="C29" s="42" t="s">
        <v>145</v>
      </c>
      <c r="D29" s="8"/>
      <c r="E29" s="43">
        <v>246000</v>
      </c>
      <c r="F29" s="43">
        <v>190000</v>
      </c>
      <c r="G29" s="43"/>
    </row>
    <row r="30" spans="2:7" ht="15">
      <c r="B30" s="38" t="s">
        <v>110</v>
      </c>
      <c r="C30" s="42" t="s">
        <v>140</v>
      </c>
      <c r="D30" s="8"/>
      <c r="E30" s="43">
        <v>200000</v>
      </c>
      <c r="F30" s="43"/>
      <c r="G30" s="43"/>
    </row>
    <row r="31" spans="2:7" ht="15">
      <c r="B31" s="38" t="s">
        <v>112</v>
      </c>
      <c r="C31" s="42" t="s">
        <v>153</v>
      </c>
      <c r="D31" s="8"/>
      <c r="E31" s="43"/>
      <c r="F31" s="43">
        <v>106000</v>
      </c>
      <c r="G31" s="43">
        <v>117777.78</v>
      </c>
    </row>
    <row r="32" spans="2:7" ht="15">
      <c r="B32" s="38" t="s">
        <v>109</v>
      </c>
      <c r="C32" s="42" t="s">
        <v>141</v>
      </c>
      <c r="D32" s="8"/>
      <c r="E32" s="43">
        <v>586400</v>
      </c>
      <c r="F32" s="43">
        <v>429990</v>
      </c>
      <c r="G32" s="43">
        <v>429990</v>
      </c>
    </row>
    <row r="33" spans="2:7" ht="15">
      <c r="B33" s="38" t="s">
        <v>111</v>
      </c>
      <c r="C33" s="42" t="s">
        <v>142</v>
      </c>
      <c r="D33" s="8"/>
      <c r="E33" s="43">
        <v>620000</v>
      </c>
      <c r="F33" s="43">
        <v>500315</v>
      </c>
      <c r="G33" s="43">
        <f>454000+46315</f>
        <v>500315</v>
      </c>
    </row>
    <row r="34" spans="2:7" ht="15">
      <c r="B34" s="38" t="s">
        <v>110</v>
      </c>
      <c r="C34" s="42" t="s">
        <v>138</v>
      </c>
      <c r="D34" s="8"/>
      <c r="E34" s="43">
        <v>100000</v>
      </c>
      <c r="F34" s="43"/>
      <c r="G34" s="43"/>
    </row>
    <row r="35" spans="2:6" ht="15.75">
      <c r="B35" s="38"/>
      <c r="C35" s="8"/>
      <c r="D35" s="8"/>
      <c r="E35" s="41"/>
      <c r="F35" s="41"/>
    </row>
    <row r="36" spans="2:7" ht="15">
      <c r="B36" s="38"/>
      <c r="C36" s="8" t="s">
        <v>28</v>
      </c>
      <c r="D36" s="8"/>
      <c r="E36" s="11">
        <f>SUM(E15:E34)</f>
        <v>7076505</v>
      </c>
      <c r="F36" s="11">
        <f>SUM(F15:F34)</f>
        <v>5712356</v>
      </c>
      <c r="G36" s="11">
        <f>SUM(G15:G34)</f>
        <v>4083061.5549999997</v>
      </c>
    </row>
    <row r="37" spans="2:6" ht="15">
      <c r="B37" s="38"/>
      <c r="C37" s="7"/>
      <c r="D37" s="7"/>
      <c r="E37" s="7"/>
      <c r="F37" s="7"/>
    </row>
    <row r="38" spans="2:7" ht="15">
      <c r="B38" s="38"/>
      <c r="C38" s="8" t="s">
        <v>5</v>
      </c>
      <c r="D38" s="8"/>
      <c r="E38" s="14">
        <f>E11-E36</f>
        <v>-454800.9028571462</v>
      </c>
      <c r="F38" s="14">
        <f>E11-F36</f>
        <v>909348.0971428538</v>
      </c>
      <c r="G38" s="14">
        <f>E11-G36</f>
        <v>2538642.542142854</v>
      </c>
    </row>
    <row r="39" ht="12.75">
      <c r="B39" s="38"/>
    </row>
    <row r="40" spans="2:7" ht="12.75">
      <c r="B40" s="38"/>
      <c r="G40" s="18"/>
    </row>
    <row r="41" spans="2:7" ht="12.75">
      <c r="B41" s="38"/>
      <c r="C41" s="1"/>
      <c r="D41" s="1"/>
      <c r="G41" s="18"/>
    </row>
    <row r="42" ht="12.75">
      <c r="B42" s="38"/>
    </row>
    <row r="43" spans="2:7" ht="12.75">
      <c r="B43" s="38"/>
      <c r="G43" s="18"/>
    </row>
    <row r="44" spans="2:7" ht="12.75">
      <c r="B44" s="38"/>
      <c r="G44" s="27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3"/>
    </row>
  </sheetData>
  <sheetProtection/>
  <mergeCells count="4">
    <mergeCell ref="H11:I12"/>
    <mergeCell ref="J11:J12"/>
    <mergeCell ref="K11:P11"/>
    <mergeCell ref="E13:G13"/>
  </mergeCells>
  <conditionalFormatting sqref="P14 L14 N14">
    <cfRule type="cellIs" priority="6" dxfId="0" operator="greaterThan" stopIfTrue="1">
      <formula>$Q$14</formula>
    </cfRule>
  </conditionalFormatting>
  <conditionalFormatting sqref="P15 L15 N15">
    <cfRule type="cellIs" priority="5" dxfId="0" operator="greaterThan" stopIfTrue="1">
      <formula>$Q$15</formula>
    </cfRule>
  </conditionalFormatting>
  <conditionalFormatting sqref="P16 L16 N16">
    <cfRule type="cellIs" priority="4" dxfId="0" operator="greaterThan" stopIfTrue="1">
      <formula>$Q$16</formula>
    </cfRule>
  </conditionalFormatting>
  <conditionalFormatting sqref="P17 L17 N17">
    <cfRule type="cellIs" priority="3" dxfId="0" operator="greaterThan" stopIfTrue="1">
      <formula>$Q$17</formula>
    </cfRule>
  </conditionalFormatting>
  <conditionalFormatting sqref="L13 N13 P13">
    <cfRule type="cellIs" priority="1" dxfId="0" operator="greaterThan" stopIfTrue="1">
      <formula>$Q$13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96"/>
  <sheetViews>
    <sheetView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69.421875" style="0" bestFit="1" customWidth="1"/>
    <col min="4" max="4" width="12.8515625" style="0" customWidth="1"/>
    <col min="5" max="5" width="30.00390625" style="0" customWidth="1"/>
    <col min="6" max="6" width="29.57421875" style="0" customWidth="1"/>
    <col min="7" max="8" width="26.8515625" style="0" bestFit="1" customWidth="1"/>
    <col min="9" max="9" width="14.140625" style="0" customWidth="1"/>
    <col min="10" max="10" width="15.140625" style="0" customWidth="1"/>
    <col min="11" max="11" width="13.8515625" style="0" customWidth="1"/>
    <col min="12" max="12" width="14.7109375" style="0" customWidth="1"/>
    <col min="13" max="13" width="12.8515625" style="0" customWidth="1"/>
    <col min="14" max="14" width="13.8515625" style="0" bestFit="1" customWidth="1"/>
    <col min="15" max="15" width="12.8515625" style="0" bestFit="1" customWidth="1"/>
    <col min="16" max="16" width="13.8515625" style="0" bestFit="1" customWidth="1"/>
    <col min="17" max="17" width="12.00390625" style="0" customWidth="1"/>
    <col min="18" max="18" width="16.28125" style="0" customWidth="1"/>
  </cols>
  <sheetData>
    <row r="3" spans="3:6" ht="15.75">
      <c r="C3" s="6" t="s">
        <v>193</v>
      </c>
      <c r="D3" s="6"/>
      <c r="E3" s="7"/>
      <c r="F3" s="7"/>
    </row>
    <row r="4" spans="3:6" ht="15">
      <c r="C4" s="7" t="s">
        <v>194</v>
      </c>
      <c r="D4" s="7"/>
      <c r="E4" s="7"/>
      <c r="F4" s="7"/>
    </row>
    <row r="5" spans="3:6" ht="15">
      <c r="C5" s="7"/>
      <c r="D5" s="7"/>
      <c r="E5" s="7"/>
      <c r="F5" s="7"/>
    </row>
    <row r="6" spans="3:6" ht="15">
      <c r="C6" s="7" t="s">
        <v>26</v>
      </c>
      <c r="D6" s="7"/>
      <c r="E6" s="15">
        <f>E8*E9</f>
        <v>6080760</v>
      </c>
      <c r="F6" s="15"/>
    </row>
    <row r="7" spans="3:6" ht="15">
      <c r="C7" s="23" t="s">
        <v>55</v>
      </c>
      <c r="D7" s="36" t="s">
        <v>129</v>
      </c>
      <c r="E7" s="24">
        <v>2423</v>
      </c>
      <c r="F7" s="15"/>
    </row>
    <row r="8" spans="4:6" ht="12.75">
      <c r="D8" s="36" t="s">
        <v>128</v>
      </c>
      <c r="E8" s="24">
        <v>2413</v>
      </c>
      <c r="F8" s="24"/>
    </row>
    <row r="9" spans="3:6" ht="15">
      <c r="C9" s="23" t="s">
        <v>56</v>
      </c>
      <c r="D9" s="7"/>
      <c r="E9" s="24">
        <v>2520</v>
      </c>
      <c r="F9" s="24"/>
    </row>
    <row r="10" spans="3:7" ht="15">
      <c r="C10" s="7" t="s">
        <v>27</v>
      </c>
      <c r="D10" s="7"/>
      <c r="E10" s="16">
        <f>-(E6-E6/1.12)</f>
        <v>-651510.0000000009</v>
      </c>
      <c r="F10" s="16"/>
      <c r="G10" s="17"/>
    </row>
    <row r="11" spans="3:6" ht="15">
      <c r="C11" s="7" t="s">
        <v>30</v>
      </c>
      <c r="D11" s="7"/>
      <c r="E11" s="16">
        <f>'FALL 2012'!G38</f>
        <v>2538642.542142854</v>
      </c>
      <c r="F11" s="16"/>
    </row>
    <row r="12" spans="3:18" ht="15.75">
      <c r="C12" s="8" t="s">
        <v>29</v>
      </c>
      <c r="D12" s="8"/>
      <c r="E12" s="9">
        <f>SUM(E6,E10:E11)</f>
        <v>7967892.542142853</v>
      </c>
      <c r="F12" s="41"/>
      <c r="J12" s="116" t="s">
        <v>119</v>
      </c>
      <c r="K12" s="116" t="s">
        <v>120</v>
      </c>
      <c r="L12" s="117" t="s">
        <v>123</v>
      </c>
      <c r="M12" s="117"/>
      <c r="N12" s="117"/>
      <c r="O12" s="117"/>
      <c r="P12" s="117"/>
      <c r="Q12" s="117"/>
      <c r="R12" s="116" t="s">
        <v>126</v>
      </c>
    </row>
    <row r="13" spans="3:18" ht="15.75">
      <c r="C13" s="8"/>
      <c r="D13" s="8"/>
      <c r="E13" s="41"/>
      <c r="F13" s="41"/>
      <c r="H13" s="45"/>
      <c r="I13" s="45"/>
      <c r="J13" s="116"/>
      <c r="K13" s="116"/>
      <c r="L13" s="26" t="s">
        <v>151</v>
      </c>
      <c r="N13" s="26" t="s">
        <v>152</v>
      </c>
      <c r="P13" s="26" t="s">
        <v>122</v>
      </c>
      <c r="R13" s="116"/>
    </row>
    <row r="14" spans="3:18" ht="15.75">
      <c r="C14" s="8"/>
      <c r="D14" s="8"/>
      <c r="E14" s="118" t="s">
        <v>127</v>
      </c>
      <c r="F14" s="118"/>
      <c r="G14" s="44"/>
      <c r="H14" s="44"/>
      <c r="I14" s="33" t="s">
        <v>112</v>
      </c>
      <c r="J14" s="23" t="s">
        <v>115</v>
      </c>
      <c r="K14">
        <f>_xlfn.COUNTIFS($B$16:$B$96,I14)</f>
        <v>5</v>
      </c>
      <c r="L14" s="27">
        <f>_xlfn.SUMIFS($F$16:$F$63,$B$16:$B$63,I14)</f>
        <v>1351300</v>
      </c>
      <c r="M14" s="30">
        <f>L14/$L$19</f>
        <v>0.17577268830883339</v>
      </c>
      <c r="N14" s="27">
        <f>_xlfn.SUMIFS($G$16:$G$63,$B$16:$B$63,I14)</f>
        <v>1351300</v>
      </c>
      <c r="O14" s="30">
        <f>N14/$N$19</f>
        <v>0.17611631783567083</v>
      </c>
      <c r="P14" s="27">
        <f>_xlfn.SUMIFS($H$16:$H$63,$B$16:$B$63,I14)</f>
        <v>154775</v>
      </c>
      <c r="Q14" s="30">
        <f>P14/$P$19</f>
        <v>0.024498886766786427</v>
      </c>
      <c r="R14" s="31">
        <v>0.15</v>
      </c>
    </row>
    <row r="15" spans="3:18" ht="15.75">
      <c r="C15" s="8" t="s">
        <v>24</v>
      </c>
      <c r="D15" s="8"/>
      <c r="E15" s="8"/>
      <c r="F15" s="34" t="s">
        <v>151</v>
      </c>
      <c r="G15" s="34" t="s">
        <v>150</v>
      </c>
      <c r="H15" s="34" t="s">
        <v>122</v>
      </c>
      <c r="I15" s="33" t="s">
        <v>110</v>
      </c>
      <c r="J15" s="23" t="s">
        <v>116</v>
      </c>
      <c r="K15">
        <f>_xlfn.COUNTIFS($B$16:$B$96,I15)</f>
        <v>11</v>
      </c>
      <c r="L15" s="27">
        <f>_xlfn.SUMIFS($F$16:$F$63,$B$16:$B$63,I15)</f>
        <v>520875</v>
      </c>
      <c r="M15" s="30">
        <f>L15/$L$19</f>
        <v>0.06775371791819995</v>
      </c>
      <c r="N15" s="27">
        <f>_xlfn.SUMIFS($G$16:$G$63,$B$16:$B$63,I15)</f>
        <v>520875</v>
      </c>
      <c r="O15" s="30">
        <f>N15/$N$19</f>
        <v>0.06788617409358029</v>
      </c>
      <c r="P15" s="27">
        <f>_xlfn.SUMIFS($H$16:$H$63,$B$16:$B$63,I15)</f>
        <v>810875</v>
      </c>
      <c r="Q15" s="30">
        <f>P15/$P$19</f>
        <v>0.1283510567405456</v>
      </c>
      <c r="R15" s="31">
        <v>0.2</v>
      </c>
    </row>
    <row r="16" spans="2:18" ht="15">
      <c r="B16" s="38" t="s">
        <v>110</v>
      </c>
      <c r="C16" s="42" t="s">
        <v>195</v>
      </c>
      <c r="D16" s="8"/>
      <c r="E16" s="43">
        <v>320000</v>
      </c>
      <c r="F16" s="43">
        <v>268000</v>
      </c>
      <c r="G16" s="43">
        <v>268000</v>
      </c>
      <c r="H16" s="43">
        <v>268000</v>
      </c>
      <c r="I16" s="33" t="s">
        <v>109</v>
      </c>
      <c r="J16" s="23" t="s">
        <v>117</v>
      </c>
      <c r="K16">
        <f>_xlfn.COUNTIFS($B$16:$B$96,I16)</f>
        <v>22</v>
      </c>
      <c r="L16" s="27">
        <f>_xlfn.SUMIFS($F$16:$F$63,$B$16:$B$63,I16)</f>
        <v>4187995</v>
      </c>
      <c r="M16" s="30">
        <f>L16/$L$19</f>
        <v>0.5447607043394899</v>
      </c>
      <c r="N16" s="27">
        <f>_xlfn.SUMIFS($G$16:$G$63,$B$16:$B$63,I16)</f>
        <v>4172995</v>
      </c>
      <c r="O16" s="30">
        <f>N16/$N$19</f>
        <v>0.543870727260168</v>
      </c>
      <c r="P16" s="27">
        <f>_xlfn.SUMIFS($H$16:$H$63,$B$16:$B$63,I16)</f>
        <v>3734884</v>
      </c>
      <c r="Q16" s="30">
        <f>P16/$P$19</f>
        <v>0.5911839780525431</v>
      </c>
      <c r="R16" s="31">
        <v>0.45</v>
      </c>
    </row>
    <row r="17" spans="2:18" ht="15">
      <c r="B17" s="38" t="s">
        <v>110</v>
      </c>
      <c r="C17" s="42" t="s">
        <v>196</v>
      </c>
      <c r="D17" s="8"/>
      <c r="E17" s="43">
        <v>1500000</v>
      </c>
      <c r="F17" s="43">
        <v>0</v>
      </c>
      <c r="G17" s="43">
        <v>0</v>
      </c>
      <c r="H17" s="43">
        <v>435000</v>
      </c>
      <c r="I17" s="33" t="s">
        <v>111</v>
      </c>
      <c r="J17" s="23" t="s">
        <v>118</v>
      </c>
      <c r="K17">
        <f>_xlfn.COUNTIFS($B$16:$B$96,I17)</f>
        <v>10</v>
      </c>
      <c r="L17" s="27">
        <f>_xlfn.SUMIFS($F$16:$F$63,$B$16:$B$63,I17)</f>
        <v>1627600</v>
      </c>
      <c r="M17" s="30">
        <f>L17/$L$19</f>
        <v>0.2117128894334768</v>
      </c>
      <c r="N17" s="27">
        <f>_xlfn.SUMIFS($G$16:$G$63,$B$16:$B$63,I17)</f>
        <v>1627600</v>
      </c>
      <c r="O17" s="30">
        <f>N17/$N$19</f>
        <v>0.21212678081058078</v>
      </c>
      <c r="P17" s="27">
        <f>_xlfn.SUMIFS($H$16:$H$63,$B$16:$B$63,I17)</f>
        <v>1617100</v>
      </c>
      <c r="Q17" s="32">
        <f>P17/$P$19</f>
        <v>0.2559660784401249</v>
      </c>
      <c r="R17" s="31">
        <v>0.2</v>
      </c>
    </row>
    <row r="18" spans="2:18" ht="15">
      <c r="B18" s="38" t="s">
        <v>109</v>
      </c>
      <c r="C18" s="42" t="s">
        <v>197</v>
      </c>
      <c r="D18" s="8"/>
      <c r="E18" s="43">
        <v>2000000</v>
      </c>
      <c r="F18" s="43">
        <v>1500000</v>
      </c>
      <c r="G18" s="43">
        <v>1500000</v>
      </c>
      <c r="H18" s="43">
        <v>1500000</v>
      </c>
      <c r="I18" s="33" t="s">
        <v>113</v>
      </c>
      <c r="J18" s="23" t="s">
        <v>125</v>
      </c>
      <c r="K18">
        <f>_xlfn.COUNTIFS($B$16:$B$96,I18)</f>
        <v>0</v>
      </c>
      <c r="L18" s="27">
        <f>_xlfn.SUMIFS($F$16:$F$63,$B$16:$B$63,I18)</f>
        <v>0</v>
      </c>
      <c r="M18" s="30">
        <f>L18/$L$19</f>
        <v>0</v>
      </c>
      <c r="N18" s="27">
        <f>_xlfn.SUMIFS($G$16:$G$63,$B$16:$B$63,I18)</f>
        <v>0</v>
      </c>
      <c r="O18" s="30">
        <f>N18/$N$19</f>
        <v>0</v>
      </c>
      <c r="P18" s="27">
        <f>_xlfn.SUMIFS($H$16:$H$63,$B$16:$B$63,I18)</f>
        <v>0</v>
      </c>
      <c r="Q18" s="30">
        <f>P18/$P$19</f>
        <v>0</v>
      </c>
      <c r="R18" s="31"/>
    </row>
    <row r="19" spans="2:18" ht="15">
      <c r="B19" s="38" t="s">
        <v>110</v>
      </c>
      <c r="C19" s="42" t="s">
        <v>198</v>
      </c>
      <c r="D19" s="8"/>
      <c r="E19" s="43">
        <v>174800</v>
      </c>
      <c r="F19" s="43">
        <v>0</v>
      </c>
      <c r="G19" s="43">
        <v>0</v>
      </c>
      <c r="H19" s="43"/>
      <c r="J19" s="29" t="s">
        <v>124</v>
      </c>
      <c r="K19" s="28">
        <f>SUM(K14:K18)</f>
        <v>48</v>
      </c>
      <c r="L19" s="28">
        <f>SUM(L14:L18)</f>
        <v>7687770</v>
      </c>
      <c r="M19" s="28"/>
      <c r="N19" s="28">
        <f>SUM(N14:N18)</f>
        <v>7672770</v>
      </c>
      <c r="O19" s="28"/>
      <c r="P19" s="28">
        <f>SUM(P14:P18)</f>
        <v>6317634</v>
      </c>
      <c r="R19" s="31"/>
    </row>
    <row r="20" spans="2:8" ht="15">
      <c r="B20" s="38" t="s">
        <v>109</v>
      </c>
      <c r="C20" s="42" t="s">
        <v>156</v>
      </c>
      <c r="D20" s="8"/>
      <c r="E20" s="43">
        <v>600000</v>
      </c>
      <c r="F20" s="43">
        <v>0</v>
      </c>
      <c r="G20" s="43">
        <v>0</v>
      </c>
      <c r="H20" s="43"/>
    </row>
    <row r="21" spans="2:8" ht="15">
      <c r="B21" s="38" t="s">
        <v>110</v>
      </c>
      <c r="C21" s="42" t="s">
        <v>199</v>
      </c>
      <c r="D21" s="8"/>
      <c r="E21" s="43">
        <v>60000</v>
      </c>
      <c r="F21" s="43">
        <v>0</v>
      </c>
      <c r="G21" s="43">
        <v>0</v>
      </c>
      <c r="H21" s="43"/>
    </row>
    <row r="22" spans="2:8" ht="15">
      <c r="B22" s="38" t="s">
        <v>111</v>
      </c>
      <c r="C22" s="42" t="s">
        <v>157</v>
      </c>
      <c r="D22" s="8"/>
      <c r="E22" s="43">
        <v>599000</v>
      </c>
      <c r="F22" s="43">
        <v>496800</v>
      </c>
      <c r="G22" s="43">
        <v>496800</v>
      </c>
      <c r="H22" s="43">
        <v>496800</v>
      </c>
    </row>
    <row r="23" spans="2:8" ht="15">
      <c r="B23" s="38" t="s">
        <v>111</v>
      </c>
      <c r="C23" s="42" t="s">
        <v>158</v>
      </c>
      <c r="D23" s="8"/>
      <c r="E23" s="43">
        <v>200000</v>
      </c>
      <c r="F23" s="43">
        <v>0</v>
      </c>
      <c r="G23" s="43">
        <v>0</v>
      </c>
      <c r="H23" s="43"/>
    </row>
    <row r="24" spans="2:8" ht="15">
      <c r="B24" s="38" t="s">
        <v>109</v>
      </c>
      <c r="C24" s="42" t="s">
        <v>159</v>
      </c>
      <c r="D24" s="8"/>
      <c r="E24" s="43">
        <v>300000</v>
      </c>
      <c r="F24" s="43">
        <v>0</v>
      </c>
      <c r="G24" s="43">
        <v>0</v>
      </c>
      <c r="H24" s="43"/>
    </row>
    <row r="25" spans="2:8" ht="15">
      <c r="B25" s="38" t="s">
        <v>112</v>
      </c>
      <c r="C25" s="42" t="s">
        <v>160</v>
      </c>
      <c r="D25" s="8"/>
      <c r="E25" s="43">
        <v>200000</v>
      </c>
      <c r="F25" s="43">
        <v>0</v>
      </c>
      <c r="G25" s="43">
        <v>0</v>
      </c>
      <c r="H25" s="43"/>
    </row>
    <row r="26" spans="2:8" ht="15">
      <c r="B26" s="38" t="s">
        <v>109</v>
      </c>
      <c r="C26" s="42" t="s">
        <v>200</v>
      </c>
      <c r="D26" s="8"/>
      <c r="E26" s="43">
        <v>13850</v>
      </c>
      <c r="F26" s="43">
        <v>13850</v>
      </c>
      <c r="G26" s="43">
        <v>13850</v>
      </c>
      <c r="H26" s="43">
        <v>13850</v>
      </c>
    </row>
    <row r="27" spans="2:8" ht="15">
      <c r="B27" s="38" t="s">
        <v>111</v>
      </c>
      <c r="C27" s="42" t="s">
        <v>161</v>
      </c>
      <c r="D27" s="8"/>
      <c r="E27" s="43">
        <v>200000</v>
      </c>
      <c r="F27" s="43">
        <v>0</v>
      </c>
      <c r="G27" s="43">
        <v>0</v>
      </c>
      <c r="H27" s="43"/>
    </row>
    <row r="28" spans="2:8" ht="15">
      <c r="B28" s="38" t="s">
        <v>111</v>
      </c>
      <c r="C28" s="42" t="s">
        <v>162</v>
      </c>
      <c r="D28" s="8"/>
      <c r="E28" s="43">
        <v>250000</v>
      </c>
      <c r="F28" s="43">
        <v>250000</v>
      </c>
      <c r="G28" s="43">
        <v>250000</v>
      </c>
      <c r="H28" s="43">
        <v>240000</v>
      </c>
    </row>
    <row r="29" spans="2:8" ht="15">
      <c r="B29" s="38" t="s">
        <v>111</v>
      </c>
      <c r="C29" s="42" t="s">
        <v>163</v>
      </c>
      <c r="D29" s="8"/>
      <c r="E29" s="43">
        <v>200000</v>
      </c>
      <c r="F29" s="43">
        <v>200000</v>
      </c>
      <c r="G29" s="43">
        <v>200000</v>
      </c>
      <c r="H29" s="43">
        <v>200000</v>
      </c>
    </row>
    <row r="30" spans="2:8" ht="15">
      <c r="B30" s="38" t="s">
        <v>111</v>
      </c>
      <c r="C30" s="42" t="s">
        <v>164</v>
      </c>
      <c r="D30" s="8"/>
      <c r="E30" s="43">
        <v>85000</v>
      </c>
      <c r="F30" s="43">
        <v>0</v>
      </c>
      <c r="G30" s="43">
        <v>0</v>
      </c>
      <c r="H30" s="43"/>
    </row>
    <row r="31" spans="2:8" ht="15">
      <c r="B31" s="38" t="s">
        <v>110</v>
      </c>
      <c r="C31" s="42" t="s">
        <v>201</v>
      </c>
      <c r="D31" s="8"/>
      <c r="E31" s="43">
        <v>200000</v>
      </c>
      <c r="F31" s="43">
        <v>0</v>
      </c>
      <c r="G31" s="43">
        <v>0</v>
      </c>
      <c r="H31" s="43"/>
    </row>
    <row r="32" spans="2:8" ht="15">
      <c r="B32" s="38" t="s">
        <v>112</v>
      </c>
      <c r="C32" s="42" t="s">
        <v>165</v>
      </c>
      <c r="D32" s="8"/>
      <c r="E32" s="43">
        <v>440200</v>
      </c>
      <c r="F32" s="43">
        <v>139000</v>
      </c>
      <c r="G32" s="43">
        <v>139000</v>
      </c>
      <c r="H32" s="43">
        <v>139400</v>
      </c>
    </row>
    <row r="33" spans="2:8" ht="15">
      <c r="B33" s="38" t="s">
        <v>109</v>
      </c>
      <c r="C33" s="42" t="s">
        <v>166</v>
      </c>
      <c r="D33" s="8"/>
      <c r="E33" s="43">
        <v>30000</v>
      </c>
      <c r="F33" s="43">
        <v>0</v>
      </c>
      <c r="G33" s="43">
        <v>0</v>
      </c>
      <c r="H33" s="43"/>
    </row>
    <row r="34" spans="2:8" ht="15">
      <c r="B34" s="38" t="s">
        <v>109</v>
      </c>
      <c r="C34" s="42" t="s">
        <v>167</v>
      </c>
      <c r="D34" s="8"/>
      <c r="E34" s="43">
        <v>20000</v>
      </c>
      <c r="F34" s="43">
        <v>0</v>
      </c>
      <c r="G34" s="43">
        <v>0</v>
      </c>
      <c r="H34" s="43"/>
    </row>
    <row r="35" spans="2:8" ht="15">
      <c r="B35" s="38" t="s">
        <v>109</v>
      </c>
      <c r="C35" s="42" t="s">
        <v>168</v>
      </c>
      <c r="D35" s="8"/>
      <c r="E35" s="43">
        <v>25000</v>
      </c>
      <c r="F35" s="43">
        <v>0</v>
      </c>
      <c r="G35" s="43">
        <v>0</v>
      </c>
      <c r="H35" s="43"/>
    </row>
    <row r="36" spans="2:8" ht="15">
      <c r="B36" s="38" t="s">
        <v>109</v>
      </c>
      <c r="C36" s="42" t="s">
        <v>169</v>
      </c>
      <c r="D36" s="8"/>
      <c r="E36" s="43">
        <v>400000</v>
      </c>
      <c r="F36" s="43">
        <v>0</v>
      </c>
      <c r="G36" s="43">
        <v>0</v>
      </c>
      <c r="H36" s="43"/>
    </row>
    <row r="37" spans="2:8" ht="15">
      <c r="B37" s="38" t="s">
        <v>109</v>
      </c>
      <c r="C37" s="42" t="s">
        <v>170</v>
      </c>
      <c r="D37" s="8"/>
      <c r="E37" s="43">
        <v>30000</v>
      </c>
      <c r="F37" s="43">
        <v>0</v>
      </c>
      <c r="G37" s="43">
        <v>0</v>
      </c>
      <c r="H37" s="43"/>
    </row>
    <row r="38" spans="2:8" ht="15">
      <c r="B38" s="38" t="s">
        <v>110</v>
      </c>
      <c r="C38" s="42" t="s">
        <v>171</v>
      </c>
      <c r="D38" s="8"/>
      <c r="E38" s="43">
        <v>10500</v>
      </c>
      <c r="F38" s="43">
        <v>0</v>
      </c>
      <c r="G38" s="43">
        <v>0</v>
      </c>
      <c r="H38" s="43"/>
    </row>
    <row r="39" spans="2:8" ht="15">
      <c r="B39" s="38" t="s">
        <v>111</v>
      </c>
      <c r="C39" s="42" t="s">
        <v>172</v>
      </c>
      <c r="D39" s="8"/>
      <c r="E39" s="43">
        <v>680800</v>
      </c>
      <c r="F39" s="43">
        <v>680800</v>
      </c>
      <c r="G39" s="43">
        <v>680800</v>
      </c>
      <c r="H39" s="43">
        <v>680300</v>
      </c>
    </row>
    <row r="40" spans="2:8" ht="15">
      <c r="B40" s="38" t="s">
        <v>109</v>
      </c>
      <c r="C40" s="42" t="s">
        <v>202</v>
      </c>
      <c r="D40" s="8"/>
      <c r="E40" s="43">
        <v>1200000</v>
      </c>
      <c r="F40" s="43">
        <v>450000</v>
      </c>
      <c r="G40" s="43">
        <v>450000</v>
      </c>
      <c r="H40" s="43">
        <v>700000</v>
      </c>
    </row>
    <row r="41" spans="2:8" ht="15">
      <c r="B41" s="38" t="s">
        <v>111</v>
      </c>
      <c r="C41" s="42" t="s">
        <v>173</v>
      </c>
      <c r="D41" s="8"/>
      <c r="E41" s="43">
        <v>250000</v>
      </c>
      <c r="F41" s="43">
        <v>0</v>
      </c>
      <c r="G41" s="43">
        <v>0</v>
      </c>
      <c r="H41" s="43"/>
    </row>
    <row r="42" spans="2:8" ht="15">
      <c r="B42" s="38" t="s">
        <v>111</v>
      </c>
      <c r="C42" s="42" t="s">
        <v>174</v>
      </c>
      <c r="D42" s="8"/>
      <c r="E42" s="43">
        <v>250000</v>
      </c>
      <c r="F42" s="43">
        <v>0</v>
      </c>
      <c r="G42" s="43">
        <v>0</v>
      </c>
      <c r="H42" s="43"/>
    </row>
    <row r="43" spans="2:8" ht="15">
      <c r="B43" s="38" t="s">
        <v>112</v>
      </c>
      <c r="C43" s="42" t="s">
        <v>175</v>
      </c>
      <c r="D43" s="8"/>
      <c r="E43" s="43">
        <v>1760000</v>
      </c>
      <c r="F43" s="43">
        <v>1200000</v>
      </c>
      <c r="G43" s="43">
        <v>1200000</v>
      </c>
      <c r="H43" s="43"/>
    </row>
    <row r="44" spans="2:8" ht="15">
      <c r="B44" s="38" t="s">
        <v>109</v>
      </c>
      <c r="C44" s="42" t="s">
        <v>176</v>
      </c>
      <c r="D44" s="8"/>
      <c r="E44" s="43">
        <v>809000</v>
      </c>
      <c r="F44" s="43">
        <v>644695</v>
      </c>
      <c r="G44" s="43">
        <v>644695</v>
      </c>
      <c r="H44" s="43">
        <v>458609</v>
      </c>
    </row>
    <row r="45" spans="2:8" ht="15">
      <c r="B45" s="38" t="s">
        <v>112</v>
      </c>
      <c r="C45" s="42" t="s">
        <v>203</v>
      </c>
      <c r="D45" s="8"/>
      <c r="E45" s="43">
        <v>12300</v>
      </c>
      <c r="F45" s="43">
        <v>12300</v>
      </c>
      <c r="G45" s="43">
        <v>12300</v>
      </c>
      <c r="H45" s="43"/>
    </row>
    <row r="46" spans="2:8" ht="15">
      <c r="B46" s="38" t="s">
        <v>109</v>
      </c>
      <c r="C46" s="42" t="s">
        <v>177</v>
      </c>
      <c r="D46" s="8"/>
      <c r="E46" s="43">
        <v>875850</v>
      </c>
      <c r="F46" s="43">
        <v>588450</v>
      </c>
      <c r="G46" s="43">
        <v>588450</v>
      </c>
      <c r="H46" s="43">
        <v>472500</v>
      </c>
    </row>
    <row r="47" spans="2:8" ht="15">
      <c r="B47" s="38" t="s">
        <v>109</v>
      </c>
      <c r="C47" s="42" t="s">
        <v>178</v>
      </c>
      <c r="D47" s="8"/>
      <c r="E47" s="43">
        <v>700000</v>
      </c>
      <c r="F47" s="43">
        <v>400000</v>
      </c>
      <c r="G47" s="43">
        <v>385000</v>
      </c>
      <c r="H47" s="43"/>
    </row>
    <row r="48" spans="2:8" ht="15">
      <c r="B48" s="38" t="s">
        <v>109</v>
      </c>
      <c r="C48" s="42" t="s">
        <v>179</v>
      </c>
      <c r="D48" s="8"/>
      <c r="E48" s="43">
        <v>80000</v>
      </c>
      <c r="F48" s="43">
        <v>66000</v>
      </c>
      <c r="G48" s="43">
        <v>66000</v>
      </c>
      <c r="H48" s="43">
        <f>150000-H51</f>
        <v>77125</v>
      </c>
    </row>
    <row r="49" spans="2:8" ht="15">
      <c r="B49" s="38" t="s">
        <v>109</v>
      </c>
      <c r="C49" s="42" t="s">
        <v>180</v>
      </c>
      <c r="D49" s="8"/>
      <c r="E49" s="43">
        <v>50000</v>
      </c>
      <c r="F49" s="43">
        <v>0</v>
      </c>
      <c r="G49" s="43">
        <v>0</v>
      </c>
      <c r="H49" s="43"/>
    </row>
    <row r="50" spans="2:8" ht="15">
      <c r="B50" s="38" t="s">
        <v>109</v>
      </c>
      <c r="C50" s="42" t="s">
        <v>181</v>
      </c>
      <c r="D50" s="8"/>
      <c r="E50" s="43">
        <v>300000</v>
      </c>
      <c r="F50" s="43">
        <v>0</v>
      </c>
      <c r="G50" s="43">
        <v>0</v>
      </c>
      <c r="H50" s="43"/>
    </row>
    <row r="51" spans="2:8" ht="15">
      <c r="B51" s="38" t="s">
        <v>110</v>
      </c>
      <c r="C51" s="42" t="s">
        <v>182</v>
      </c>
      <c r="D51" s="8"/>
      <c r="E51" s="43">
        <v>100000</v>
      </c>
      <c r="F51" s="43">
        <v>72875</v>
      </c>
      <c r="G51" s="43">
        <v>72875</v>
      </c>
      <c r="H51" s="43">
        <v>72875</v>
      </c>
    </row>
    <row r="52" spans="2:8" ht="15">
      <c r="B52" s="38" t="s">
        <v>111</v>
      </c>
      <c r="C52" s="42" t="s">
        <v>183</v>
      </c>
      <c r="D52" s="8"/>
      <c r="E52" s="43">
        <v>70000</v>
      </c>
      <c r="F52" s="43">
        <v>0</v>
      </c>
      <c r="G52" s="43">
        <v>0</v>
      </c>
      <c r="H52" s="43"/>
    </row>
    <row r="53" spans="2:8" ht="15">
      <c r="B53" s="38" t="s">
        <v>109</v>
      </c>
      <c r="C53" s="42" t="s">
        <v>184</v>
      </c>
      <c r="D53" s="8"/>
      <c r="E53" s="43">
        <v>700000</v>
      </c>
      <c r="F53" s="43">
        <v>0</v>
      </c>
      <c r="G53" s="43">
        <v>0</v>
      </c>
      <c r="H53" s="43"/>
    </row>
    <row r="54" spans="2:8" ht="15">
      <c r="B54" s="38" t="s">
        <v>109</v>
      </c>
      <c r="C54" s="42" t="s">
        <v>185</v>
      </c>
      <c r="D54" s="8"/>
      <c r="E54" s="43">
        <v>25000</v>
      </c>
      <c r="F54" s="43">
        <v>0</v>
      </c>
      <c r="G54" s="43">
        <v>0</v>
      </c>
      <c r="H54" s="43"/>
    </row>
    <row r="55" spans="2:8" ht="15">
      <c r="B55" s="38" t="s">
        <v>110</v>
      </c>
      <c r="C55" s="42" t="s">
        <v>186</v>
      </c>
      <c r="D55" s="8"/>
      <c r="E55" s="43">
        <v>150000</v>
      </c>
      <c r="F55" s="43">
        <v>130000</v>
      </c>
      <c r="G55" s="43">
        <v>130000</v>
      </c>
      <c r="H55" s="43"/>
    </row>
    <row r="56" spans="2:8" ht="15">
      <c r="B56" s="38" t="s">
        <v>110</v>
      </c>
      <c r="C56" s="42" t="s">
        <v>187</v>
      </c>
      <c r="D56" s="8"/>
      <c r="E56" s="43">
        <v>150000</v>
      </c>
      <c r="F56" s="43">
        <v>0</v>
      </c>
      <c r="G56" s="43">
        <v>0</v>
      </c>
      <c r="H56" s="43"/>
    </row>
    <row r="57" spans="2:8" ht="15">
      <c r="B57" s="38" t="s">
        <v>109</v>
      </c>
      <c r="C57" s="42" t="s">
        <v>188</v>
      </c>
      <c r="D57" s="8"/>
      <c r="E57" s="43">
        <v>50000</v>
      </c>
      <c r="F57" s="43">
        <v>0</v>
      </c>
      <c r="G57" s="43">
        <v>0</v>
      </c>
      <c r="H57" s="43"/>
    </row>
    <row r="58" spans="2:8" ht="15">
      <c r="B58" s="38" t="s">
        <v>110</v>
      </c>
      <c r="C58" s="42" t="s">
        <v>189</v>
      </c>
      <c r="D58" s="8"/>
      <c r="E58" s="43">
        <v>50000</v>
      </c>
      <c r="F58" s="43">
        <v>0</v>
      </c>
      <c r="G58" s="43">
        <v>0</v>
      </c>
      <c r="H58" s="43"/>
    </row>
    <row r="59" spans="2:8" ht="15">
      <c r="B59" s="38" t="s">
        <v>109</v>
      </c>
      <c r="C59" s="42" t="s">
        <v>190</v>
      </c>
      <c r="D59" s="8"/>
      <c r="E59" s="43">
        <v>40000</v>
      </c>
      <c r="F59" s="43">
        <v>0</v>
      </c>
      <c r="G59" s="43">
        <v>0</v>
      </c>
      <c r="H59" s="43"/>
    </row>
    <row r="60" spans="2:8" ht="15">
      <c r="B60" s="38" t="s">
        <v>109</v>
      </c>
      <c r="C60" s="42" t="s">
        <v>191</v>
      </c>
      <c r="D60" s="8"/>
      <c r="E60" s="43">
        <v>150000</v>
      </c>
      <c r="F60" s="43">
        <v>0</v>
      </c>
      <c r="G60" s="43">
        <v>0</v>
      </c>
      <c r="H60" s="43"/>
    </row>
    <row r="61" spans="2:8" ht="15">
      <c r="B61" s="38" t="s">
        <v>110</v>
      </c>
      <c r="C61" s="42" t="s">
        <v>204</v>
      </c>
      <c r="D61" s="8"/>
      <c r="E61" s="43">
        <v>50000</v>
      </c>
      <c r="F61" s="43">
        <v>50000</v>
      </c>
      <c r="G61" s="43">
        <v>50000</v>
      </c>
      <c r="H61" s="43">
        <v>35000</v>
      </c>
    </row>
    <row r="62" spans="2:8" ht="15">
      <c r="B62" s="38" t="s">
        <v>112</v>
      </c>
      <c r="C62" s="42" t="s">
        <v>206</v>
      </c>
      <c r="D62" s="8"/>
      <c r="E62" s="43"/>
      <c r="F62" s="43"/>
      <c r="G62" s="43"/>
      <c r="H62" s="43">
        <v>15375</v>
      </c>
    </row>
    <row r="63" spans="2:8" ht="15">
      <c r="B63" s="38" t="s">
        <v>109</v>
      </c>
      <c r="C63" s="42" t="s">
        <v>205</v>
      </c>
      <c r="D63" s="8"/>
      <c r="E63" s="43">
        <v>705000</v>
      </c>
      <c r="F63" s="43">
        <v>525000</v>
      </c>
      <c r="G63" s="43">
        <v>525000</v>
      </c>
      <c r="H63" s="43">
        <v>512800</v>
      </c>
    </row>
    <row r="64" spans="2:8" ht="15.75">
      <c r="B64" s="38"/>
      <c r="C64" s="8"/>
      <c r="D64" s="8"/>
      <c r="E64" s="41"/>
      <c r="F64" s="41"/>
      <c r="G64" s="43"/>
      <c r="H64" s="43"/>
    </row>
    <row r="65" spans="2:8" ht="15">
      <c r="B65" s="38"/>
      <c r="C65" s="8" t="s">
        <v>28</v>
      </c>
      <c r="D65" s="8"/>
      <c r="E65" s="11">
        <f>SUM(E16:E63)</f>
        <v>17066300</v>
      </c>
      <c r="F65" s="11">
        <f>SUM(F16:F63)</f>
        <v>7687770</v>
      </c>
      <c r="G65" s="11">
        <f>SUM(G16:G63)</f>
        <v>7672770</v>
      </c>
      <c r="H65" s="11">
        <f>SUM(H16:H63)</f>
        <v>6317634</v>
      </c>
    </row>
    <row r="66" spans="2:8" ht="15">
      <c r="B66" s="38"/>
      <c r="C66" s="7"/>
      <c r="D66" s="7"/>
      <c r="E66" s="7"/>
      <c r="F66" s="7"/>
      <c r="H66" s="43"/>
    </row>
    <row r="67" spans="2:8" ht="15">
      <c r="B67" s="38"/>
      <c r="C67" s="8" t="s">
        <v>5</v>
      </c>
      <c r="D67" s="8"/>
      <c r="E67" s="14">
        <f>E12-E65</f>
        <v>-9098407.457857147</v>
      </c>
      <c r="F67" s="14">
        <f>E12-F65</f>
        <v>280122.54214285314</v>
      </c>
      <c r="G67" s="14">
        <f>E12-G65</f>
        <v>295122.54214285314</v>
      </c>
      <c r="H67" s="14">
        <f>E12-H65</f>
        <v>1650258.5421428531</v>
      </c>
    </row>
    <row r="68" spans="2:8" ht="15">
      <c r="B68" s="38"/>
      <c r="H68" s="43"/>
    </row>
    <row r="69" spans="2:8" ht="15">
      <c r="B69" s="38"/>
      <c r="G69" s="18"/>
      <c r="H69" s="43"/>
    </row>
    <row r="70" spans="2:4" ht="15">
      <c r="B70" s="38"/>
      <c r="C70" s="18"/>
      <c r="D70" s="43"/>
    </row>
    <row r="71" spans="2:4" ht="15">
      <c r="B71" s="38"/>
      <c r="D71" s="43"/>
    </row>
    <row r="72" spans="2:4" ht="15">
      <c r="B72" s="38"/>
      <c r="D72" s="43"/>
    </row>
    <row r="73" spans="2:4" ht="15">
      <c r="B73" s="38"/>
      <c r="D73" s="43"/>
    </row>
    <row r="74" spans="2:4" ht="15">
      <c r="B74" s="38"/>
      <c r="D74" s="43"/>
    </row>
    <row r="75" spans="2:8" ht="15">
      <c r="B75" s="38"/>
      <c r="H75" s="43"/>
    </row>
    <row r="76" spans="2:8" ht="15">
      <c r="B76" s="38"/>
      <c r="H76" s="43"/>
    </row>
    <row r="77" spans="2:8" ht="15">
      <c r="B77" s="38"/>
      <c r="H77" s="43"/>
    </row>
    <row r="78" spans="2:8" ht="15">
      <c r="B78" s="38"/>
      <c r="H78" s="43"/>
    </row>
    <row r="79" spans="2:8" ht="15">
      <c r="B79" s="38"/>
      <c r="H79" s="43"/>
    </row>
    <row r="80" spans="2:8" ht="15">
      <c r="B80" s="38"/>
      <c r="H80" s="43"/>
    </row>
    <row r="81" spans="2:8" ht="15">
      <c r="B81" s="38"/>
      <c r="H81" s="43"/>
    </row>
    <row r="82" spans="2:8" ht="15">
      <c r="B82" s="38"/>
      <c r="H82" s="43"/>
    </row>
    <row r="83" spans="2:8" ht="15">
      <c r="B83" s="38"/>
      <c r="H83" s="43"/>
    </row>
    <row r="84" spans="2:8" ht="15">
      <c r="B84" s="38"/>
      <c r="H84" s="43"/>
    </row>
    <row r="85" spans="2:8" ht="15">
      <c r="B85" s="38"/>
      <c r="H85" s="43"/>
    </row>
    <row r="86" ht="12.75">
      <c r="B86" s="38"/>
    </row>
    <row r="87" ht="12.75">
      <c r="B87" s="38"/>
    </row>
    <row r="88" ht="12.75">
      <c r="B88" s="38"/>
    </row>
    <row r="89" ht="12.75">
      <c r="B89" s="38"/>
    </row>
    <row r="90" ht="12.75">
      <c r="B90" s="38"/>
    </row>
    <row r="91" ht="12.75">
      <c r="B91" s="38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3"/>
    </row>
  </sheetData>
  <sheetProtection/>
  <mergeCells count="5">
    <mergeCell ref="R12:R13"/>
    <mergeCell ref="J12:J13"/>
    <mergeCell ref="E14:F14"/>
    <mergeCell ref="K12:K13"/>
    <mergeCell ref="L12:Q12"/>
  </mergeCells>
  <conditionalFormatting sqref="Q15 M15 O15">
    <cfRule type="cellIs" priority="5" dxfId="0" operator="greaterThan" stopIfTrue="1">
      <formula>$R$15</formula>
    </cfRule>
  </conditionalFormatting>
  <conditionalFormatting sqref="Q16 M16 O16">
    <cfRule type="cellIs" priority="4" dxfId="0" operator="greaterThan" stopIfTrue="1">
      <formula>$R$16</formula>
    </cfRule>
  </conditionalFormatting>
  <conditionalFormatting sqref="Q17 M17 O17">
    <cfRule type="cellIs" priority="3" dxfId="0" operator="greaterThan" stopIfTrue="1">
      <formula>$R$17</formula>
    </cfRule>
  </conditionalFormatting>
  <conditionalFormatting sqref="Q18 M18 O18">
    <cfRule type="cellIs" priority="2" dxfId="0" operator="greaterThan" stopIfTrue="1">
      <formula>$R$18</formula>
    </cfRule>
  </conditionalFormatting>
  <conditionalFormatting sqref="M14 O14 Q14">
    <cfRule type="cellIs" priority="1" dxfId="0" operator="greaterThan" stopIfTrue="1">
      <formula>$R$14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98"/>
  <sheetViews>
    <sheetView zoomScale="70" zoomScaleNormal="70" zoomScalePageLayoutView="0" workbookViewId="0" topLeftCell="A79">
      <selection activeCell="F10" sqref="F10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48.28125" style="0" customWidth="1"/>
    <col min="4" max="4" width="12.8515625" style="0" customWidth="1"/>
    <col min="5" max="5" width="30.00390625" style="0" customWidth="1"/>
    <col min="6" max="6" width="29.57421875" style="0" customWidth="1"/>
    <col min="7" max="8" width="26.8515625" style="0" bestFit="1" customWidth="1"/>
    <col min="9" max="9" width="14.140625" style="0" customWidth="1"/>
    <col min="10" max="10" width="15.140625" style="0" customWidth="1"/>
    <col min="11" max="11" width="13.8515625" style="0" customWidth="1"/>
    <col min="12" max="12" width="14.7109375" style="0" customWidth="1"/>
    <col min="13" max="13" width="12.8515625" style="0" customWidth="1"/>
    <col min="14" max="14" width="13.8515625" style="0" bestFit="1" customWidth="1"/>
    <col min="15" max="15" width="12.8515625" style="0" bestFit="1" customWidth="1"/>
    <col min="16" max="16" width="13.8515625" style="0" bestFit="1" customWidth="1"/>
    <col min="17" max="17" width="12.00390625" style="0" customWidth="1"/>
    <col min="18" max="18" width="16.28125" style="0" customWidth="1"/>
  </cols>
  <sheetData>
    <row r="3" spans="3:6" ht="15.75">
      <c r="C3" s="6" t="s">
        <v>277</v>
      </c>
      <c r="D3" s="6"/>
      <c r="E3" s="7"/>
      <c r="F3" s="7"/>
    </row>
    <row r="4" spans="3:6" ht="15">
      <c r="C4" s="20" t="s">
        <v>280</v>
      </c>
      <c r="D4" s="7"/>
      <c r="E4" s="7"/>
      <c r="F4" s="7"/>
    </row>
    <row r="5" spans="3:6" ht="15">
      <c r="C5" s="7"/>
      <c r="D5" s="7"/>
      <c r="E5" s="7"/>
      <c r="F5" s="7"/>
    </row>
    <row r="6" spans="3:6" ht="15">
      <c r="C6" s="7" t="s">
        <v>26</v>
      </c>
      <c r="D6" s="7"/>
      <c r="E6" s="15">
        <f>E8*E9</f>
        <v>6254640</v>
      </c>
      <c r="F6" s="15"/>
    </row>
    <row r="7" spans="3:6" ht="15">
      <c r="C7" s="23" t="s">
        <v>55</v>
      </c>
      <c r="D7" s="36" t="s">
        <v>129</v>
      </c>
      <c r="E7" s="24">
        <v>2507</v>
      </c>
      <c r="F7" s="15"/>
    </row>
    <row r="8" spans="4:6" ht="12.75">
      <c r="D8" s="36" t="s">
        <v>128</v>
      </c>
      <c r="E8" s="24">
        <v>2482</v>
      </c>
      <c r="F8" s="51"/>
    </row>
    <row r="9" spans="3:6" ht="15">
      <c r="C9" s="23" t="s">
        <v>56</v>
      </c>
      <c r="D9" s="7"/>
      <c r="E9" s="24">
        <v>2520</v>
      </c>
      <c r="F9" s="24"/>
    </row>
    <row r="10" spans="3:7" ht="15">
      <c r="C10" s="7" t="s">
        <v>27</v>
      </c>
      <c r="D10" s="7"/>
      <c r="E10" s="16">
        <f>-(E6-E6/1.12)</f>
        <v>-670140.0000000009</v>
      </c>
      <c r="F10" s="16"/>
      <c r="G10" s="17"/>
    </row>
    <row r="11" spans="3:6" ht="15">
      <c r="C11" s="7" t="s">
        <v>30</v>
      </c>
      <c r="D11" s="7"/>
      <c r="E11" s="16">
        <f>'SPRING 2013'!H67</f>
        <v>1650258.5421428531</v>
      </c>
      <c r="F11" s="16"/>
    </row>
    <row r="12" spans="3:18" ht="15.75">
      <c r="C12" s="8" t="s">
        <v>29</v>
      </c>
      <c r="D12" s="8"/>
      <c r="E12" s="9">
        <f>SUM(E6,E10:E11)</f>
        <v>7234758.542142852</v>
      </c>
      <c r="F12" s="41"/>
      <c r="J12" s="116" t="s">
        <v>119</v>
      </c>
      <c r="K12" s="116" t="s">
        <v>120</v>
      </c>
      <c r="L12" s="117" t="s">
        <v>123</v>
      </c>
      <c r="M12" s="117"/>
      <c r="N12" s="117"/>
      <c r="O12" s="117"/>
      <c r="P12" s="117"/>
      <c r="Q12" s="117"/>
      <c r="R12" s="116" t="s">
        <v>126</v>
      </c>
    </row>
    <row r="13" spans="3:18" ht="15.75">
      <c r="C13" s="8"/>
      <c r="D13" s="8"/>
      <c r="E13" s="41"/>
      <c r="F13" s="41"/>
      <c r="H13" s="45"/>
      <c r="I13" s="45"/>
      <c r="J13" s="116"/>
      <c r="K13" s="116"/>
      <c r="L13" s="26" t="s">
        <v>274</v>
      </c>
      <c r="N13" s="26" t="s">
        <v>152</v>
      </c>
      <c r="P13" s="26" t="s">
        <v>122</v>
      </c>
      <c r="R13" s="116"/>
    </row>
    <row r="14" spans="3:18" ht="15.75">
      <c r="C14" s="8"/>
      <c r="D14" s="8"/>
      <c r="E14" s="118" t="s">
        <v>127</v>
      </c>
      <c r="F14" s="118"/>
      <c r="G14" s="44"/>
      <c r="H14" s="44"/>
      <c r="I14" s="33" t="s">
        <v>112</v>
      </c>
      <c r="J14" s="23" t="s">
        <v>115</v>
      </c>
      <c r="K14">
        <f>_xlfn.COUNTIFS($B$16:$B$98,I14)</f>
        <v>0</v>
      </c>
      <c r="L14" s="27">
        <f>_xlfn.SUMIFS($E$16:$E$92,$B$16:$B$92,I14)</f>
        <v>3371353</v>
      </c>
      <c r="M14" s="30">
        <f>L14/$L$19</f>
        <v>0.16547411960764113</v>
      </c>
      <c r="N14" s="27">
        <f>_xlfn.SUMIFS($F$16:$F$92,$B$16:$B$92,I14)</f>
        <v>1681353</v>
      </c>
      <c r="O14" s="30">
        <f>N14/$N$19</f>
        <v>0.2158032903284848</v>
      </c>
      <c r="P14" s="27">
        <f>_xlfn.SUMIFS($H$16:$H$92,$B$16:$B$92,I14)</f>
        <v>773963</v>
      </c>
      <c r="Q14" s="30">
        <f>P14/$P$19</f>
        <v>0.16170314563171706</v>
      </c>
      <c r="R14" s="31">
        <v>0.15</v>
      </c>
    </row>
    <row r="15" spans="3:18" ht="18.75" customHeight="1">
      <c r="C15" s="8" t="s">
        <v>24</v>
      </c>
      <c r="D15" s="8"/>
      <c r="E15" s="49" t="s">
        <v>274</v>
      </c>
      <c r="F15" s="50" t="s">
        <v>276</v>
      </c>
      <c r="G15" s="49" t="s">
        <v>275</v>
      </c>
      <c r="H15" s="49" t="s">
        <v>122</v>
      </c>
      <c r="I15" s="33" t="s">
        <v>110</v>
      </c>
      <c r="J15" s="23" t="s">
        <v>116</v>
      </c>
      <c r="K15">
        <f>_xlfn.COUNTIFS($B$16:$B$98,I15)</f>
        <v>30</v>
      </c>
      <c r="L15" s="27">
        <f>_xlfn.SUMIFS($E$16:$E$92,$B$16:$B$92,I15)</f>
        <v>4242437</v>
      </c>
      <c r="M15" s="32">
        <f>L15/$L$19</f>
        <v>0.20822901890305828</v>
      </c>
      <c r="N15" s="27">
        <f>_xlfn.SUMIFS($F$16:$F$92,$B$16:$B$92,I15)</f>
        <v>960000</v>
      </c>
      <c r="O15" s="30">
        <f>N15/$N$19</f>
        <v>0.12321693226547037</v>
      </c>
      <c r="P15" s="27">
        <f>_xlfn.SUMIFS($H$16:$H$92,$B$16:$B$92,I15)</f>
        <v>0</v>
      </c>
      <c r="Q15" s="30">
        <f>P15/$P$19</f>
        <v>0</v>
      </c>
      <c r="R15" s="31">
        <v>0.2</v>
      </c>
    </row>
    <row r="16" spans="2:19" ht="15.75">
      <c r="B16" s="46" t="s">
        <v>110</v>
      </c>
      <c r="C16" s="47" t="s">
        <v>208</v>
      </c>
      <c r="D16" s="48"/>
      <c r="E16" s="43">
        <v>320000</v>
      </c>
      <c r="F16" s="43">
        <v>200000</v>
      </c>
      <c r="G16" s="43"/>
      <c r="H16" s="43"/>
      <c r="I16" s="33" t="s">
        <v>109</v>
      </c>
      <c r="J16" s="23" t="s">
        <v>117</v>
      </c>
      <c r="K16">
        <f>_xlfn.COUNTIFS($B$16:$B$98,I16)</f>
        <v>20</v>
      </c>
      <c r="L16" s="27">
        <f>_xlfn.SUMIFS($E$16:$E$92,$B$16:$B$92,I16)</f>
        <v>8753298</v>
      </c>
      <c r="M16" s="30">
        <f>L16/$L$19</f>
        <v>0.42963293378454465</v>
      </c>
      <c r="N16" s="27">
        <f>_xlfn.SUMIFS($F$16:$F$92,$B$16:$B$92,I16)</f>
        <v>3739373</v>
      </c>
      <c r="O16" s="30">
        <f>N16/$N$19</f>
        <v>0.47995215589200907</v>
      </c>
      <c r="P16" s="27">
        <f>_xlfn.SUMIFS($H$16:$H$92,$B$16:$B$92,I16)</f>
        <v>2845820</v>
      </c>
      <c r="Q16" s="30">
        <f>P16/$P$19</f>
        <v>0.5945737017165589</v>
      </c>
      <c r="R16" s="31">
        <v>0.45</v>
      </c>
      <c r="S16" s="52">
        <f>Q16-R16</f>
        <v>0.14457370171655887</v>
      </c>
    </row>
    <row r="17" spans="2:18" ht="15.75">
      <c r="B17" s="46" t="s">
        <v>110</v>
      </c>
      <c r="C17" s="48" t="s">
        <v>209</v>
      </c>
      <c r="D17" s="48"/>
      <c r="E17" s="43">
        <v>394554</v>
      </c>
      <c r="F17" s="43"/>
      <c r="G17" s="43"/>
      <c r="H17" s="43"/>
      <c r="I17" s="33" t="s">
        <v>111</v>
      </c>
      <c r="J17" s="23" t="s">
        <v>118</v>
      </c>
      <c r="K17">
        <f>_xlfn.COUNTIFS($B$16:$B$98,I17)</f>
        <v>9</v>
      </c>
      <c r="L17" s="27">
        <f>_xlfn.SUMIFS($E$16:$E$92,$B$16:$B$92,I17)</f>
        <v>3788000</v>
      </c>
      <c r="M17" s="30">
        <f>L17/$L$19</f>
        <v>0.18592415717776947</v>
      </c>
      <c r="N17" s="27">
        <f>_xlfn.SUMIFS($F$16:$F$92,$B$16:$B$92,I17)</f>
        <v>1221600</v>
      </c>
      <c r="O17" s="30">
        <f>N17/$N$19</f>
        <v>0.15679354630781103</v>
      </c>
      <c r="P17" s="27">
        <f>_xlfn.SUMIFS($H$16:$H$92,$B$16:$B$92,I17)</f>
        <v>994891</v>
      </c>
      <c r="Q17" s="32">
        <f>P17/$P$19</f>
        <v>0.20786136321850607</v>
      </c>
      <c r="R17" s="31">
        <v>0.2</v>
      </c>
    </row>
    <row r="18" spans="2:18" ht="15.75">
      <c r="B18" s="46" t="s">
        <v>109</v>
      </c>
      <c r="C18" s="47" t="s">
        <v>196</v>
      </c>
      <c r="D18" s="48"/>
      <c r="E18" s="43">
        <v>600000</v>
      </c>
      <c r="F18" s="43">
        <v>450000</v>
      </c>
      <c r="G18" s="43"/>
      <c r="H18" s="43"/>
      <c r="I18" s="33" t="s">
        <v>113</v>
      </c>
      <c r="J18" s="23" t="s">
        <v>125</v>
      </c>
      <c r="K18">
        <f>_xlfn.COUNTIFS($B$16:$B$98,I18)</f>
        <v>3</v>
      </c>
      <c r="L18" s="27">
        <f>_xlfn.SUMIFS($E$16:$E$92,$B$16:$B$92,I18)</f>
        <v>218811</v>
      </c>
      <c r="M18" s="30">
        <f>L18/$L$19</f>
        <v>0.010739770526986513</v>
      </c>
      <c r="N18" s="27">
        <f>_xlfn.SUMIFS($F$16:$F$92,$B$16:$B$92,I18)</f>
        <v>188811</v>
      </c>
      <c r="O18" s="30">
        <f>N18/$N$19</f>
        <v>0.024234075206224715</v>
      </c>
      <c r="P18" s="27">
        <f>_xlfn.SUMIFS($H$16:$H$92,$B$16:$B$92,I18)</f>
        <v>171646</v>
      </c>
      <c r="Q18" s="30">
        <f>P18/$P$19</f>
        <v>0.035861789433218</v>
      </c>
      <c r="R18" s="31"/>
    </row>
    <row r="19" spans="2:18" ht="15.75">
      <c r="B19" s="46" t="s">
        <v>109</v>
      </c>
      <c r="C19" s="47" t="s">
        <v>210</v>
      </c>
      <c r="D19" s="48"/>
      <c r="E19" s="43">
        <v>500000</v>
      </c>
      <c r="F19" s="43">
        <v>500000</v>
      </c>
      <c r="G19" s="43">
        <v>500000</v>
      </c>
      <c r="H19" s="43">
        <v>500000</v>
      </c>
      <c r="J19" s="29" t="s">
        <v>124</v>
      </c>
      <c r="K19" s="28">
        <f>SUM(K14:K18)</f>
        <v>62</v>
      </c>
      <c r="L19" s="28">
        <f>SUM(L14:L18)</f>
        <v>20373899</v>
      </c>
      <c r="M19" s="28"/>
      <c r="N19" s="28">
        <f>SUM(N14:N18)</f>
        <v>7791137</v>
      </c>
      <c r="O19" s="28"/>
      <c r="P19" s="28">
        <f>SUM(P14:P18)</f>
        <v>4786320</v>
      </c>
      <c r="R19" s="31"/>
    </row>
    <row r="20" spans="2:8" ht="15.75">
      <c r="B20" s="46" t="s">
        <v>111</v>
      </c>
      <c r="C20" s="47" t="s">
        <v>211</v>
      </c>
      <c r="D20" s="48"/>
      <c r="E20" s="43">
        <v>1200000</v>
      </c>
      <c r="F20" s="43">
        <v>750000</v>
      </c>
      <c r="G20" s="43">
        <v>730000</v>
      </c>
      <c r="H20" s="43">
        <v>728681</v>
      </c>
    </row>
    <row r="21" spans="2:8" ht="15.75">
      <c r="B21" s="46" t="s">
        <v>112</v>
      </c>
      <c r="C21" s="47" t="s">
        <v>212</v>
      </c>
      <c r="D21" s="48"/>
      <c r="E21" s="43">
        <v>450000</v>
      </c>
      <c r="F21" s="43">
        <v>370000</v>
      </c>
      <c r="G21" s="43"/>
      <c r="H21" s="43"/>
    </row>
    <row r="22" spans="2:8" ht="15.75">
      <c r="B22" s="46" t="s">
        <v>109</v>
      </c>
      <c r="C22" s="47" t="s">
        <v>213</v>
      </c>
      <c r="D22" s="48"/>
      <c r="E22" s="43">
        <v>1000000</v>
      </c>
      <c r="F22" s="43"/>
      <c r="G22" s="43"/>
      <c r="H22" s="43"/>
    </row>
    <row r="23" spans="2:8" ht="15.75">
      <c r="B23" s="46" t="s">
        <v>111</v>
      </c>
      <c r="C23" s="47" t="s">
        <v>214</v>
      </c>
      <c r="D23" s="48"/>
      <c r="E23" s="43">
        <v>150000</v>
      </c>
      <c r="F23" s="43"/>
      <c r="G23" s="43"/>
      <c r="H23" s="43"/>
    </row>
    <row r="24" spans="2:8" ht="15.75">
      <c r="B24" s="46" t="s">
        <v>111</v>
      </c>
      <c r="C24" s="47" t="s">
        <v>215</v>
      </c>
      <c r="D24" s="48"/>
      <c r="E24" s="43">
        <v>45000</v>
      </c>
      <c r="F24" s="43">
        <v>45000</v>
      </c>
      <c r="G24" s="43"/>
      <c r="H24" s="43"/>
    </row>
    <row r="25" spans="2:8" ht="15.75">
      <c r="B25" s="46" t="s">
        <v>110</v>
      </c>
      <c r="C25" s="47" t="s">
        <v>216</v>
      </c>
      <c r="D25" s="48"/>
      <c r="E25" s="43">
        <v>25000</v>
      </c>
      <c r="F25" s="43">
        <v>25000</v>
      </c>
      <c r="G25" s="43"/>
      <c r="H25" s="43"/>
    </row>
    <row r="26" spans="2:8" ht="15.75">
      <c r="B26" s="46" t="s">
        <v>110</v>
      </c>
      <c r="C26" s="47" t="s">
        <v>216</v>
      </c>
      <c r="D26" s="48"/>
      <c r="E26" s="43">
        <v>25000</v>
      </c>
      <c r="F26" s="43"/>
      <c r="G26" s="43"/>
      <c r="H26" s="43"/>
    </row>
    <row r="27" spans="2:8" ht="15.75">
      <c r="B27" s="46" t="s">
        <v>110</v>
      </c>
      <c r="C27" s="47" t="s">
        <v>216</v>
      </c>
      <c r="D27" s="48"/>
      <c r="E27" s="43">
        <v>25000</v>
      </c>
      <c r="F27" s="43"/>
      <c r="G27" s="43"/>
      <c r="H27" s="43"/>
    </row>
    <row r="28" spans="2:8" ht="15.75">
      <c r="B28" s="46" t="s">
        <v>110</v>
      </c>
      <c r="C28" s="47" t="s">
        <v>216</v>
      </c>
      <c r="D28" s="48"/>
      <c r="E28" s="43">
        <v>25000</v>
      </c>
      <c r="F28" s="43"/>
      <c r="G28" s="43"/>
      <c r="H28" s="43"/>
    </row>
    <row r="29" spans="2:8" ht="15.75">
      <c r="B29" s="46" t="s">
        <v>110</v>
      </c>
      <c r="C29" s="47" t="s">
        <v>216</v>
      </c>
      <c r="D29" s="48"/>
      <c r="E29" s="43">
        <v>25000</v>
      </c>
      <c r="F29" s="43"/>
      <c r="G29" s="43"/>
      <c r="H29" s="43"/>
    </row>
    <row r="30" spans="2:8" ht="15.75">
      <c r="B30" s="46" t="s">
        <v>110</v>
      </c>
      <c r="C30" s="47" t="s">
        <v>216</v>
      </c>
      <c r="D30" s="48"/>
      <c r="E30" s="43">
        <v>25000</v>
      </c>
      <c r="F30" s="43"/>
      <c r="G30" s="43"/>
      <c r="H30" s="43"/>
    </row>
    <row r="31" spans="2:8" ht="15.75">
      <c r="B31" s="46" t="s">
        <v>110</v>
      </c>
      <c r="C31" s="47" t="s">
        <v>216</v>
      </c>
      <c r="D31" s="48"/>
      <c r="E31" s="43">
        <v>25000</v>
      </c>
      <c r="F31" s="43"/>
      <c r="G31" s="43"/>
      <c r="H31" s="43"/>
    </row>
    <row r="32" spans="2:8" ht="15.75">
      <c r="B32" s="46" t="s">
        <v>113</v>
      </c>
      <c r="C32" s="47" t="s">
        <v>217</v>
      </c>
      <c r="D32" s="48"/>
      <c r="E32" s="43">
        <v>30000</v>
      </c>
      <c r="F32" s="43"/>
      <c r="G32" s="43"/>
      <c r="H32" s="43"/>
    </row>
    <row r="33" spans="2:8" ht="15.75">
      <c r="B33" s="46" t="s">
        <v>110</v>
      </c>
      <c r="C33" s="47" t="s">
        <v>218</v>
      </c>
      <c r="D33" s="48"/>
      <c r="E33" s="43">
        <v>30000</v>
      </c>
      <c r="F33" s="43">
        <v>30000</v>
      </c>
      <c r="G33" s="43"/>
      <c r="H33" s="43"/>
    </row>
    <row r="34" spans="2:8" ht="15.75">
      <c r="B34" s="46" t="s">
        <v>109</v>
      </c>
      <c r="C34" s="47" t="s">
        <v>219</v>
      </c>
      <c r="D34" s="48"/>
      <c r="E34" s="43">
        <v>250000</v>
      </c>
      <c r="F34" s="43"/>
      <c r="G34" s="43"/>
      <c r="H34" s="43"/>
    </row>
    <row r="35" spans="2:8" ht="15.75">
      <c r="B35" s="46" t="s">
        <v>110</v>
      </c>
      <c r="C35" s="47" t="s">
        <v>220</v>
      </c>
      <c r="D35" s="48"/>
      <c r="E35" s="43">
        <v>220583</v>
      </c>
      <c r="F35" s="43">
        <v>150000</v>
      </c>
      <c r="G35" s="43"/>
      <c r="H35" s="43"/>
    </row>
    <row r="36" spans="2:8" ht="15.75">
      <c r="B36" s="46" t="s">
        <v>112</v>
      </c>
      <c r="C36" s="47" t="s">
        <v>221</v>
      </c>
      <c r="D36" s="48"/>
      <c r="E36" s="43">
        <v>900000</v>
      </c>
      <c r="F36" s="43">
        <v>900000</v>
      </c>
      <c r="G36" s="43">
        <v>900000</v>
      </c>
      <c r="H36" s="43">
        <v>707610</v>
      </c>
    </row>
    <row r="37" spans="2:8" ht="15.75">
      <c r="B37" s="46" t="s">
        <v>110</v>
      </c>
      <c r="C37" s="47" t="s">
        <v>222</v>
      </c>
      <c r="D37" s="48"/>
      <c r="E37" s="43">
        <v>30000</v>
      </c>
      <c r="F37" s="43">
        <v>30000</v>
      </c>
      <c r="G37" s="43"/>
      <c r="H37" s="43"/>
    </row>
    <row r="38" spans="2:8" ht="15.75">
      <c r="B38" s="46" t="s">
        <v>110</v>
      </c>
      <c r="C38" s="47" t="s">
        <v>223</v>
      </c>
      <c r="D38" s="48"/>
      <c r="E38" s="43">
        <v>30000</v>
      </c>
      <c r="F38" s="43">
        <v>30000</v>
      </c>
      <c r="G38" s="43"/>
      <c r="H38" s="43"/>
    </row>
    <row r="39" spans="2:8" ht="15.75">
      <c r="B39" s="46" t="s">
        <v>110</v>
      </c>
      <c r="C39" s="47" t="s">
        <v>224</v>
      </c>
      <c r="D39" s="48"/>
      <c r="E39" s="43">
        <v>30000</v>
      </c>
      <c r="F39" s="43"/>
      <c r="G39" s="43"/>
      <c r="H39" s="43"/>
    </row>
    <row r="40" spans="2:8" ht="15.75">
      <c r="B40" s="46" t="s">
        <v>110</v>
      </c>
      <c r="C40" s="47" t="s">
        <v>225</v>
      </c>
      <c r="D40" s="48"/>
      <c r="E40" s="43">
        <v>30000</v>
      </c>
      <c r="F40" s="43"/>
      <c r="G40" s="43"/>
      <c r="H40" s="43"/>
    </row>
    <row r="41" spans="2:8" ht="15.75">
      <c r="B41" s="46" t="s">
        <v>110</v>
      </c>
      <c r="C41" s="47" t="s">
        <v>226</v>
      </c>
      <c r="D41" s="48"/>
      <c r="E41" s="43">
        <v>50000</v>
      </c>
      <c r="F41" s="43"/>
      <c r="G41" s="43"/>
      <c r="H41" s="43"/>
    </row>
    <row r="42" spans="2:8" ht="15.75">
      <c r="B42" s="46" t="s">
        <v>110</v>
      </c>
      <c r="C42" s="47" t="s">
        <v>227</v>
      </c>
      <c r="D42" s="48"/>
      <c r="E42" s="43">
        <v>20000</v>
      </c>
      <c r="F42" s="43"/>
      <c r="G42" s="43"/>
      <c r="H42" s="43"/>
    </row>
    <row r="43" spans="2:8" ht="15.75">
      <c r="B43" s="46" t="s">
        <v>110</v>
      </c>
      <c r="C43" s="47" t="s">
        <v>228</v>
      </c>
      <c r="D43" s="48"/>
      <c r="E43" s="43">
        <v>20000</v>
      </c>
      <c r="F43" s="43">
        <v>10000</v>
      </c>
      <c r="G43" s="43"/>
      <c r="H43" s="43"/>
    </row>
    <row r="44" spans="2:8" ht="15.75">
      <c r="B44" s="46" t="s">
        <v>109</v>
      </c>
      <c r="C44" s="47" t="s">
        <v>229</v>
      </c>
      <c r="D44" s="48"/>
      <c r="E44" s="43">
        <v>300000</v>
      </c>
      <c r="F44" s="43">
        <v>180000</v>
      </c>
      <c r="G44" s="43"/>
      <c r="H44" s="43"/>
    </row>
    <row r="45" spans="2:8" ht="15.75">
      <c r="B45" s="46" t="s">
        <v>110</v>
      </c>
      <c r="C45" s="47" t="s">
        <v>230</v>
      </c>
      <c r="D45" s="48"/>
      <c r="E45" s="43">
        <v>300000</v>
      </c>
      <c r="F45" s="43">
        <v>40000</v>
      </c>
      <c r="G45" s="43"/>
      <c r="H45" s="43"/>
    </row>
    <row r="46" spans="2:8" ht="15.75">
      <c r="B46" s="46" t="s">
        <v>109</v>
      </c>
      <c r="C46" s="47" t="s">
        <v>231</v>
      </c>
      <c r="D46" s="48"/>
      <c r="E46" s="43">
        <v>700000</v>
      </c>
      <c r="F46" s="43"/>
      <c r="G46" s="43"/>
      <c r="H46" s="43"/>
    </row>
    <row r="47" spans="2:8" ht="15.75">
      <c r="B47" s="46" t="s">
        <v>110</v>
      </c>
      <c r="C47" s="47" t="s">
        <v>232</v>
      </c>
      <c r="D47" s="48"/>
      <c r="E47" s="43">
        <v>300000</v>
      </c>
      <c r="F47" s="43"/>
      <c r="G47" s="43"/>
      <c r="H47" s="43"/>
    </row>
    <row r="48" spans="2:8" ht="15.75">
      <c r="B48" s="46" t="s">
        <v>111</v>
      </c>
      <c r="C48" s="47" t="s">
        <v>233</v>
      </c>
      <c r="D48" s="48"/>
      <c r="E48" s="43">
        <v>399000</v>
      </c>
      <c r="F48" s="43"/>
      <c r="G48" s="43"/>
      <c r="H48" s="43"/>
    </row>
    <row r="49" spans="2:8" ht="15.75">
      <c r="B49" s="46" t="s">
        <v>109</v>
      </c>
      <c r="C49" s="47" t="s">
        <v>234</v>
      </c>
      <c r="D49" s="48"/>
      <c r="E49" s="43">
        <v>700000</v>
      </c>
      <c r="F49" s="43">
        <v>450000</v>
      </c>
      <c r="G49" s="43">
        <v>450000</v>
      </c>
      <c r="H49" s="43">
        <v>415790</v>
      </c>
    </row>
    <row r="50" spans="2:8" ht="15.75">
      <c r="B50" s="46" t="s">
        <v>110</v>
      </c>
      <c r="C50" s="47" t="s">
        <v>235</v>
      </c>
      <c r="D50" s="48"/>
      <c r="E50" s="43">
        <v>225000</v>
      </c>
      <c r="F50" s="43">
        <v>75000</v>
      </c>
      <c r="G50" s="43"/>
      <c r="H50" s="43"/>
    </row>
    <row r="51" spans="2:8" ht="15.75">
      <c r="B51" s="46" t="s">
        <v>110</v>
      </c>
      <c r="C51" s="47" t="s">
        <v>236</v>
      </c>
      <c r="D51" s="48"/>
      <c r="E51" s="43">
        <v>225000</v>
      </c>
      <c r="F51" s="43"/>
      <c r="G51" s="43"/>
      <c r="H51" s="43"/>
    </row>
    <row r="52" spans="2:8" ht="15.75">
      <c r="B52" s="46" t="s">
        <v>110</v>
      </c>
      <c r="C52" s="47" t="s">
        <v>237</v>
      </c>
      <c r="D52" s="48"/>
      <c r="E52" s="43">
        <v>150000</v>
      </c>
      <c r="F52" s="43"/>
      <c r="G52" s="43"/>
      <c r="H52" s="43"/>
    </row>
    <row r="53" spans="2:8" ht="15.75">
      <c r="B53" s="46" t="s">
        <v>112</v>
      </c>
      <c r="C53" s="47" t="s">
        <v>238</v>
      </c>
      <c r="D53" s="48"/>
      <c r="E53" s="43">
        <v>250000</v>
      </c>
      <c r="F53" s="43">
        <v>80000</v>
      </c>
      <c r="G53" s="43"/>
      <c r="H53" s="43"/>
    </row>
    <row r="54" spans="2:8" ht="15.75">
      <c r="B54" s="46" t="s">
        <v>112</v>
      </c>
      <c r="C54" s="47" t="s">
        <v>239</v>
      </c>
      <c r="D54" s="48"/>
      <c r="E54" s="43">
        <v>300000</v>
      </c>
      <c r="F54" s="43"/>
      <c r="G54" s="43"/>
      <c r="H54" s="43"/>
    </row>
    <row r="55" spans="2:8" ht="15.75">
      <c r="B55" s="46" t="s">
        <v>112</v>
      </c>
      <c r="C55" s="47" t="s">
        <v>240</v>
      </c>
      <c r="D55" s="48"/>
      <c r="E55" s="43">
        <v>130000</v>
      </c>
      <c r="F55" s="43">
        <v>80000</v>
      </c>
      <c r="G55" s="43"/>
      <c r="H55" s="43"/>
    </row>
    <row r="56" spans="2:8" ht="15.75">
      <c r="B56" s="46" t="s">
        <v>112</v>
      </c>
      <c r="C56" s="47" t="s">
        <v>241</v>
      </c>
      <c r="D56" s="48"/>
      <c r="E56" s="43">
        <v>200000</v>
      </c>
      <c r="F56" s="43"/>
      <c r="G56" s="43"/>
      <c r="H56" s="43"/>
    </row>
    <row r="57" spans="2:8" ht="15.75">
      <c r="B57" s="46" t="s">
        <v>109</v>
      </c>
      <c r="C57" s="47" t="s">
        <v>242</v>
      </c>
      <c r="D57" s="48"/>
      <c r="E57" s="43">
        <v>175000</v>
      </c>
      <c r="F57" s="43">
        <v>50000</v>
      </c>
      <c r="G57" s="43"/>
      <c r="H57" s="43"/>
    </row>
    <row r="58" spans="2:8" ht="15.75">
      <c r="B58" s="46" t="s">
        <v>109</v>
      </c>
      <c r="C58" s="47" t="s">
        <v>243</v>
      </c>
      <c r="D58" s="48"/>
      <c r="E58" s="43">
        <v>175000</v>
      </c>
      <c r="F58" s="43"/>
      <c r="G58" s="43"/>
      <c r="H58" s="43"/>
    </row>
    <row r="59" spans="2:8" ht="15.75">
      <c r="B59" s="46" t="s">
        <v>109</v>
      </c>
      <c r="C59" s="47" t="s">
        <v>244</v>
      </c>
      <c r="D59" s="48"/>
      <c r="E59" s="43">
        <v>155000</v>
      </c>
      <c r="F59" s="43"/>
      <c r="G59" s="43"/>
      <c r="H59" s="43"/>
    </row>
    <row r="60" spans="2:8" ht="15.75">
      <c r="B60" s="46" t="s">
        <v>112</v>
      </c>
      <c r="C60" s="47" t="s">
        <v>245</v>
      </c>
      <c r="D60" s="48"/>
      <c r="E60" s="43">
        <v>150000</v>
      </c>
      <c r="F60" s="43"/>
      <c r="G60" s="43"/>
      <c r="H60" s="43"/>
    </row>
    <row r="61" spans="2:8" ht="15.75">
      <c r="B61" s="46" t="s">
        <v>110</v>
      </c>
      <c r="C61" s="47" t="s">
        <v>246</v>
      </c>
      <c r="D61" s="48"/>
      <c r="E61" s="43">
        <v>35000</v>
      </c>
      <c r="F61" s="43">
        <v>20000</v>
      </c>
      <c r="G61" s="43"/>
      <c r="H61" s="43"/>
    </row>
    <row r="62" spans="2:8" ht="15.75">
      <c r="B62" s="46" t="s">
        <v>109</v>
      </c>
      <c r="C62" s="47" t="s">
        <v>247</v>
      </c>
      <c r="D62" s="48"/>
      <c r="E62" s="43">
        <v>450000</v>
      </c>
      <c r="F62" s="43">
        <v>450000</v>
      </c>
      <c r="G62" s="43">
        <v>449320</v>
      </c>
      <c r="H62" s="43">
        <v>430030</v>
      </c>
    </row>
    <row r="63" spans="2:8" ht="15.75">
      <c r="B63" s="46" t="s">
        <v>109</v>
      </c>
      <c r="C63" s="47" t="s">
        <v>248</v>
      </c>
      <c r="D63" s="48"/>
      <c r="E63" s="43">
        <v>60000</v>
      </c>
      <c r="F63" s="43"/>
      <c r="G63" s="43"/>
      <c r="H63" s="43"/>
    </row>
    <row r="64" spans="2:8" ht="15.75">
      <c r="B64" s="46" t="s">
        <v>109</v>
      </c>
      <c r="C64" s="47" t="s">
        <v>249</v>
      </c>
      <c r="D64" s="48"/>
      <c r="E64" s="43">
        <v>70000</v>
      </c>
      <c r="F64" s="43"/>
      <c r="G64" s="43"/>
      <c r="H64" s="43"/>
    </row>
    <row r="65" spans="2:8" ht="15.75">
      <c r="B65" s="46" t="s">
        <v>109</v>
      </c>
      <c r="C65" s="47" t="s">
        <v>250</v>
      </c>
      <c r="D65" s="48"/>
      <c r="E65" s="43">
        <v>60000</v>
      </c>
      <c r="F65" s="43"/>
      <c r="G65" s="43"/>
      <c r="H65" s="43"/>
    </row>
    <row r="66" spans="2:8" ht="15.75">
      <c r="B66" s="46" t="s">
        <v>111</v>
      </c>
      <c r="C66" s="47" t="s">
        <v>251</v>
      </c>
      <c r="D66" s="48"/>
      <c r="E66" s="43">
        <v>1000000</v>
      </c>
      <c r="F66" s="43"/>
      <c r="G66" s="43"/>
      <c r="H66" s="43"/>
    </row>
    <row r="67" spans="2:8" ht="15.75">
      <c r="B67" s="46" t="s">
        <v>112</v>
      </c>
      <c r="C67" s="47" t="s">
        <v>252</v>
      </c>
      <c r="D67" s="48"/>
      <c r="E67" s="43">
        <v>40000</v>
      </c>
      <c r="F67" s="43"/>
      <c r="G67" s="43"/>
      <c r="H67" s="43"/>
    </row>
    <row r="68" spans="2:8" ht="15.75">
      <c r="B68" s="46" t="s">
        <v>109</v>
      </c>
      <c r="C68" s="47" t="s">
        <v>253</v>
      </c>
      <c r="D68" s="48"/>
      <c r="E68" s="43">
        <v>65000</v>
      </c>
      <c r="F68" s="43"/>
      <c r="G68" s="43"/>
      <c r="H68" s="43"/>
    </row>
    <row r="69" spans="2:8" ht="15.75">
      <c r="B69" s="46" t="s">
        <v>109</v>
      </c>
      <c r="C69" s="47" t="s">
        <v>254</v>
      </c>
      <c r="D69" s="48"/>
      <c r="E69" s="43">
        <v>59373</v>
      </c>
      <c r="F69" s="43">
        <v>59373</v>
      </c>
      <c r="G69" s="43"/>
      <c r="H69" s="43"/>
    </row>
    <row r="70" spans="2:8" ht="15.75">
      <c r="B70" s="46" t="s">
        <v>109</v>
      </c>
      <c r="C70" s="47" t="s">
        <v>255</v>
      </c>
      <c r="D70" s="48"/>
      <c r="E70" s="43">
        <v>533925</v>
      </c>
      <c r="F70" s="43"/>
      <c r="G70" s="43"/>
      <c r="H70" s="43"/>
    </row>
    <row r="71" spans="2:8" ht="15.75">
      <c r="B71" s="46" t="s">
        <v>111</v>
      </c>
      <c r="C71" s="47" t="s">
        <v>179</v>
      </c>
      <c r="D71" s="48"/>
      <c r="E71" s="43">
        <v>200000</v>
      </c>
      <c r="F71" s="43">
        <v>100000</v>
      </c>
      <c r="G71" s="43"/>
      <c r="H71" s="43"/>
    </row>
    <row r="72" spans="2:8" ht="15.75">
      <c r="B72" s="46" t="s">
        <v>112</v>
      </c>
      <c r="C72" s="47" t="s">
        <v>256</v>
      </c>
      <c r="D72" s="48"/>
      <c r="E72" s="43">
        <v>165000</v>
      </c>
      <c r="F72" s="43">
        <v>95000</v>
      </c>
      <c r="G72" s="43"/>
      <c r="H72" s="43"/>
    </row>
    <row r="73" spans="2:8" ht="15.75">
      <c r="B73" s="46" t="s">
        <v>112</v>
      </c>
      <c r="C73" s="47" t="s">
        <v>257</v>
      </c>
      <c r="D73" s="48"/>
      <c r="E73" s="43">
        <v>450000</v>
      </c>
      <c r="F73" s="43"/>
      <c r="G73" s="43"/>
      <c r="H73" s="43"/>
    </row>
    <row r="74" spans="2:8" ht="15.75">
      <c r="B74" s="46" t="s">
        <v>110</v>
      </c>
      <c r="C74" s="47" t="s">
        <v>258</v>
      </c>
      <c r="D74" s="48"/>
      <c r="E74" s="43">
        <v>157300</v>
      </c>
      <c r="F74" s="43"/>
      <c r="G74" s="43"/>
      <c r="H74" s="43"/>
    </row>
    <row r="75" spans="2:8" ht="15.75">
      <c r="B75" s="46" t="s">
        <v>110</v>
      </c>
      <c r="C75" s="47" t="s">
        <v>259</v>
      </c>
      <c r="D75" s="48"/>
      <c r="E75" s="43">
        <v>100000</v>
      </c>
      <c r="F75" s="43"/>
      <c r="G75" s="43"/>
      <c r="H75" s="43"/>
    </row>
    <row r="76" spans="2:8" ht="15.75">
      <c r="B76" s="46" t="s">
        <v>109</v>
      </c>
      <c r="C76" s="47" t="s">
        <v>260</v>
      </c>
      <c r="D76" s="48"/>
      <c r="E76" s="43">
        <v>2000000</v>
      </c>
      <c r="F76" s="43">
        <v>1500000</v>
      </c>
      <c r="G76" s="43">
        <v>1500000</v>
      </c>
      <c r="H76" s="43">
        <v>1500000</v>
      </c>
    </row>
    <row r="77" spans="2:8" ht="15.75">
      <c r="B77" s="46" t="s">
        <v>112</v>
      </c>
      <c r="C77" s="47" t="s">
        <v>261</v>
      </c>
      <c r="D77" s="48"/>
      <c r="E77" s="43">
        <v>180000</v>
      </c>
      <c r="F77" s="43"/>
      <c r="G77" s="43"/>
      <c r="H77" s="43"/>
    </row>
    <row r="78" spans="2:8" ht="15.75">
      <c r="B78" s="46" t="s">
        <v>109</v>
      </c>
      <c r="C78" s="47" t="s">
        <v>262</v>
      </c>
      <c r="D78" s="48"/>
      <c r="E78" s="43">
        <v>400000</v>
      </c>
      <c r="F78" s="43">
        <v>100000</v>
      </c>
      <c r="G78" s="43"/>
      <c r="H78" s="43"/>
    </row>
    <row r="79" spans="2:8" ht="15.75">
      <c r="B79" s="46" t="s">
        <v>109</v>
      </c>
      <c r="C79" s="47" t="s">
        <v>263</v>
      </c>
      <c r="D79" s="48"/>
      <c r="E79" s="43">
        <v>500000</v>
      </c>
      <c r="F79" s="43"/>
      <c r="G79" s="43"/>
      <c r="H79" s="43"/>
    </row>
    <row r="80" spans="2:8" ht="15.75">
      <c r="B80" s="46" t="s">
        <v>112</v>
      </c>
      <c r="C80" s="47" t="s">
        <v>264</v>
      </c>
      <c r="D80" s="48"/>
      <c r="E80" s="43">
        <v>45000</v>
      </c>
      <c r="F80" s="43">
        <v>45000</v>
      </c>
      <c r="G80" s="43">
        <v>45000</v>
      </c>
      <c r="H80" s="43"/>
    </row>
    <row r="81" spans="2:8" ht="15.75">
      <c r="B81" s="46" t="s">
        <v>112</v>
      </c>
      <c r="C81" s="47" t="s">
        <v>265</v>
      </c>
      <c r="D81" s="48"/>
      <c r="E81" s="43">
        <v>45000</v>
      </c>
      <c r="F81" s="43">
        <v>45000</v>
      </c>
      <c r="G81" s="43">
        <v>45000</v>
      </c>
      <c r="H81" s="43"/>
    </row>
    <row r="82" spans="2:8" ht="15.75">
      <c r="B82" s="46" t="s">
        <v>110</v>
      </c>
      <c r="C82" s="47" t="s">
        <v>266</v>
      </c>
      <c r="D82" s="48"/>
      <c r="E82" s="43">
        <v>500000</v>
      </c>
      <c r="F82" s="43">
        <v>350000</v>
      </c>
      <c r="G82" s="43"/>
      <c r="H82" s="43"/>
    </row>
    <row r="83" spans="2:8" ht="15.75">
      <c r="B83" s="46" t="s">
        <v>110</v>
      </c>
      <c r="C83" s="47" t="s">
        <v>267</v>
      </c>
      <c r="D83" s="48"/>
      <c r="E83" s="43">
        <v>500000</v>
      </c>
      <c r="F83" s="43"/>
      <c r="G83" s="43"/>
      <c r="H83" s="43"/>
    </row>
    <row r="84" spans="2:8" ht="15.75">
      <c r="B84" s="46" t="s">
        <v>110</v>
      </c>
      <c r="C84" s="47" t="s">
        <v>268</v>
      </c>
      <c r="D84" s="48"/>
      <c r="E84" s="43">
        <v>300000</v>
      </c>
      <c r="F84" s="43"/>
      <c r="G84" s="43"/>
      <c r="H84" s="43"/>
    </row>
    <row r="85" spans="2:8" ht="15.75">
      <c r="B85" s="46" t="s">
        <v>111</v>
      </c>
      <c r="C85" s="47" t="s">
        <v>278</v>
      </c>
      <c r="D85" s="48"/>
      <c r="E85" s="43">
        <v>30000</v>
      </c>
      <c r="F85" s="43">
        <v>30000</v>
      </c>
      <c r="G85" s="43">
        <v>30000</v>
      </c>
      <c r="H85" s="43">
        <v>29710</v>
      </c>
    </row>
    <row r="86" spans="2:8" ht="15.75">
      <c r="B86" s="46" t="s">
        <v>111</v>
      </c>
      <c r="C86" s="47" t="s">
        <v>279</v>
      </c>
      <c r="D86" s="48"/>
      <c r="E86" s="43">
        <v>100000</v>
      </c>
      <c r="F86" s="43">
        <v>60000</v>
      </c>
      <c r="G86" s="43"/>
      <c r="H86" s="43"/>
    </row>
    <row r="87" spans="2:8" ht="15.75">
      <c r="B87" s="46" t="s">
        <v>110</v>
      </c>
      <c r="C87" s="47" t="s">
        <v>269</v>
      </c>
      <c r="D87" s="48"/>
      <c r="E87" s="43">
        <v>100000</v>
      </c>
      <c r="F87" s="43"/>
      <c r="G87" s="43"/>
      <c r="H87" s="43"/>
    </row>
    <row r="88" spans="2:8" ht="15.75">
      <c r="B88" s="46" t="s">
        <v>111</v>
      </c>
      <c r="C88" s="47" t="s">
        <v>270</v>
      </c>
      <c r="D88" s="48"/>
      <c r="E88" s="43">
        <v>664000</v>
      </c>
      <c r="F88" s="43">
        <v>236600</v>
      </c>
      <c r="G88" s="43">
        <v>236600</v>
      </c>
      <c r="H88" s="43">
        <f>6500+230000</f>
        <v>236500</v>
      </c>
    </row>
    <row r="89" spans="2:8" ht="15.75">
      <c r="B89" s="46" t="s">
        <v>113</v>
      </c>
      <c r="C89" s="47" t="s">
        <v>364</v>
      </c>
      <c r="D89" s="48"/>
      <c r="E89" s="43">
        <v>106623</v>
      </c>
      <c r="F89" s="43">
        <v>106623</v>
      </c>
      <c r="G89" s="43">
        <v>106623</v>
      </c>
      <c r="H89" s="43">
        <v>96930</v>
      </c>
    </row>
    <row r="90" spans="2:8" ht="15.75">
      <c r="B90" s="46" t="s">
        <v>113</v>
      </c>
      <c r="C90" s="47" t="s">
        <v>271</v>
      </c>
      <c r="D90" s="48"/>
      <c r="E90" s="43">
        <v>82188</v>
      </c>
      <c r="F90" s="43">
        <v>82188</v>
      </c>
      <c r="G90" s="43">
        <v>82188</v>
      </c>
      <c r="H90" s="43">
        <v>74716</v>
      </c>
    </row>
    <row r="91" spans="2:8" ht="15.75">
      <c r="B91" s="46" t="s">
        <v>112</v>
      </c>
      <c r="C91" s="47" t="s">
        <v>272</v>
      </c>
      <c r="D91" s="48"/>
      <c r="E91" s="43">
        <v>66353</v>
      </c>
      <c r="F91" s="43">
        <v>66353</v>
      </c>
      <c r="G91" s="43">
        <v>66353</v>
      </c>
      <c r="H91" s="43">
        <v>66353</v>
      </c>
    </row>
    <row r="92" spans="2:8" ht="15.75">
      <c r="B92" s="46"/>
      <c r="C92" s="47" t="s">
        <v>273</v>
      </c>
      <c r="D92" s="48"/>
      <c r="E92" s="43">
        <v>500000</v>
      </c>
      <c r="F92" s="43"/>
      <c r="G92" s="43"/>
      <c r="H92" s="43"/>
    </row>
    <row r="93" ht="12.75">
      <c r="B93" s="38"/>
    </row>
    <row r="94" spans="2:8" ht="15">
      <c r="B94" s="38"/>
      <c r="E94" s="11">
        <f>SUM(E16:E92)</f>
        <v>20873899</v>
      </c>
      <c r="F94" s="11">
        <f>SUM(F16:F92)</f>
        <v>7791137</v>
      </c>
      <c r="G94" s="11">
        <f>SUM(G16:G92)</f>
        <v>5141084</v>
      </c>
      <c r="H94" s="11">
        <f>SUM(H16:H92)</f>
        <v>4786320</v>
      </c>
    </row>
    <row r="95" spans="2:8" ht="15">
      <c r="B95" s="38"/>
      <c r="E95" s="7"/>
      <c r="F95" s="7"/>
      <c r="H95" s="43"/>
    </row>
    <row r="96" spans="2:8" ht="15">
      <c r="B96" s="38"/>
      <c r="E96" s="14">
        <f>E12-E94</f>
        <v>-13639140.457857147</v>
      </c>
      <c r="F96" s="14">
        <f>E12-F94</f>
        <v>-556378.4578571478</v>
      </c>
      <c r="G96" s="14">
        <f>E12-G94</f>
        <v>2093674.5421428522</v>
      </c>
      <c r="H96" s="14">
        <f>E12-H94</f>
        <v>2448438.542142852</v>
      </c>
    </row>
    <row r="97" ht="12.75">
      <c r="B97" s="38"/>
    </row>
    <row r="98" ht="12.75">
      <c r="B98" s="33"/>
    </row>
  </sheetData>
  <sheetProtection/>
  <mergeCells count="5">
    <mergeCell ref="R12:R13"/>
    <mergeCell ref="E14:F14"/>
    <mergeCell ref="J12:J13"/>
    <mergeCell ref="K12:K13"/>
    <mergeCell ref="L12:Q12"/>
  </mergeCells>
  <conditionalFormatting sqref="Q15 M15 O15">
    <cfRule type="cellIs" priority="5" dxfId="0" operator="greaterThan" stopIfTrue="1">
      <formula>$R$15</formula>
    </cfRule>
  </conditionalFormatting>
  <conditionalFormatting sqref="Q16 M16 O16">
    <cfRule type="cellIs" priority="4" dxfId="0" operator="greaterThan" stopIfTrue="1">
      <formula>$R$16</formula>
    </cfRule>
  </conditionalFormatting>
  <conditionalFormatting sqref="Q17 M17 O17">
    <cfRule type="cellIs" priority="3" dxfId="0" operator="greaterThan" stopIfTrue="1">
      <formula>$R$17</formula>
    </cfRule>
  </conditionalFormatting>
  <conditionalFormatting sqref="Q18 M18 O18">
    <cfRule type="cellIs" priority="2" dxfId="0" operator="greaterThan" stopIfTrue="1">
      <formula>$R$18</formula>
    </cfRule>
  </conditionalFormatting>
  <conditionalFormatting sqref="M14 O14 Q14">
    <cfRule type="cellIs" priority="1" dxfId="0" operator="greaterThan" stopIfTrue="1">
      <formula>$R$14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63"/>
  <sheetViews>
    <sheetView zoomScalePageLayoutView="0" workbookViewId="0" topLeftCell="A58">
      <selection activeCell="E64" sqref="E64"/>
    </sheetView>
  </sheetViews>
  <sheetFormatPr defaultColWidth="9.140625" defaultRowHeight="12.75"/>
  <cols>
    <col min="3" max="3" width="39.7109375" style="0" customWidth="1"/>
    <col min="4" max="4" width="17.00390625" style="0" customWidth="1"/>
    <col min="5" max="5" width="28.140625" style="0" bestFit="1" customWidth="1"/>
    <col min="6" max="6" width="26.8515625" style="0" bestFit="1" customWidth="1"/>
    <col min="8" max="8" width="14.140625" style="0" customWidth="1"/>
    <col min="9" max="9" width="8.8515625" style="0" customWidth="1"/>
    <col min="10" max="10" width="13.8515625" style="0" customWidth="1"/>
    <col min="11" max="11" width="4.00390625" style="0" customWidth="1"/>
    <col min="12" max="12" width="12.8515625" style="0" bestFit="1" customWidth="1"/>
    <col min="13" max="13" width="4.57421875" style="0" customWidth="1"/>
    <col min="14" max="14" width="12.7109375" style="0" bestFit="1" customWidth="1"/>
  </cols>
  <sheetData>
    <row r="3" spans="3:5" ht="15.75">
      <c r="C3" s="6" t="s">
        <v>100</v>
      </c>
      <c r="D3" s="6"/>
      <c r="E3" s="7"/>
    </row>
    <row r="4" spans="3:5" ht="15">
      <c r="C4" s="7"/>
      <c r="D4" s="7"/>
      <c r="E4" s="7"/>
    </row>
    <row r="5" spans="3:5" ht="15">
      <c r="C5" s="7"/>
      <c r="D5" s="7"/>
      <c r="E5" s="7"/>
    </row>
    <row r="6" spans="3:5" ht="15">
      <c r="C6" s="7" t="s">
        <v>26</v>
      </c>
      <c r="D6" s="7"/>
      <c r="E6" s="15">
        <f>E7*E8</f>
        <v>3822600</v>
      </c>
    </row>
    <row r="7" spans="3:7" ht="12.75">
      <c r="C7" s="23" t="s">
        <v>55</v>
      </c>
      <c r="D7" s="36" t="s">
        <v>128</v>
      </c>
      <c r="E7" s="24">
        <v>1662</v>
      </c>
      <c r="F7" s="36" t="s">
        <v>129</v>
      </c>
      <c r="G7" s="24">
        <v>2448</v>
      </c>
    </row>
    <row r="8" spans="3:5" ht="15">
      <c r="C8" s="23" t="s">
        <v>56</v>
      </c>
      <c r="D8" s="7"/>
      <c r="E8" s="24">
        <v>2300</v>
      </c>
    </row>
    <row r="9" spans="3:6" ht="15">
      <c r="C9" s="7" t="s">
        <v>27</v>
      </c>
      <c r="D9" s="7"/>
      <c r="E9" s="16">
        <f>-(E6-E6/1.12)</f>
        <v>-409564.2857142859</v>
      </c>
      <c r="F9" s="17"/>
    </row>
    <row r="10" spans="3:5" ht="15">
      <c r="C10" s="7" t="s">
        <v>30</v>
      </c>
      <c r="D10" s="7"/>
      <c r="E10" s="16">
        <f>'FALL 2011'!E27</f>
        <v>2469068.525714284</v>
      </c>
    </row>
    <row r="11" spans="3:14" ht="15.75">
      <c r="C11" s="8" t="s">
        <v>29</v>
      </c>
      <c r="D11" s="8"/>
      <c r="E11" s="9">
        <f>SUM(E6,E9:E10)</f>
        <v>5882104.239999998</v>
      </c>
      <c r="G11" s="116" t="s">
        <v>119</v>
      </c>
      <c r="H11" s="116"/>
      <c r="I11" s="116" t="s">
        <v>120</v>
      </c>
      <c r="J11" s="117" t="s">
        <v>123</v>
      </c>
      <c r="K11" s="117"/>
      <c r="L11" s="117"/>
      <c r="M11" s="117"/>
      <c r="N11" s="25" t="s">
        <v>126</v>
      </c>
    </row>
    <row r="12" spans="3:12" ht="15">
      <c r="C12" s="10"/>
      <c r="D12" s="10"/>
      <c r="E12" s="11"/>
      <c r="G12" s="116"/>
      <c r="H12" s="116"/>
      <c r="I12" s="116"/>
      <c r="J12" s="26" t="s">
        <v>121</v>
      </c>
      <c r="K12" s="26"/>
      <c r="L12" s="26" t="s">
        <v>122</v>
      </c>
    </row>
    <row r="13" spans="3:14" ht="15.75">
      <c r="C13" s="8" t="s">
        <v>24</v>
      </c>
      <c r="D13" s="8"/>
      <c r="E13" s="34" t="s">
        <v>127</v>
      </c>
      <c r="F13" s="34" t="s">
        <v>122</v>
      </c>
      <c r="G13" s="33" t="s">
        <v>112</v>
      </c>
      <c r="H13" s="23" t="s">
        <v>115</v>
      </c>
      <c r="I13">
        <f>_xlfn.COUNTIFS($B$14:$B$56,G13)</f>
        <v>7</v>
      </c>
      <c r="J13" s="27">
        <f>_xlfn.SUMIFS($E$14:$E$56,$B$14:$B$56,G13)</f>
        <v>1160000</v>
      </c>
      <c r="K13" s="30">
        <f>J13/$J$18</f>
        <v>0.15942606616181745</v>
      </c>
      <c r="L13" s="27">
        <f>_xlfn.SUMIFS($F$14:$F$56,$B$14:$B$56,G13)</f>
        <v>507152</v>
      </c>
      <c r="M13" s="30">
        <f>L13/$L$18</f>
        <v>0.11944558999859393</v>
      </c>
      <c r="N13" s="31">
        <v>0.15</v>
      </c>
    </row>
    <row r="14" spans="2:14" ht="15.75">
      <c r="B14" s="33" t="s">
        <v>109</v>
      </c>
      <c r="C14" s="22" t="s">
        <v>68</v>
      </c>
      <c r="D14" s="8"/>
      <c r="E14" s="12">
        <v>650000</v>
      </c>
      <c r="F14" s="12">
        <v>249350</v>
      </c>
      <c r="G14" s="33" t="s">
        <v>110</v>
      </c>
      <c r="H14" s="23" t="s">
        <v>116</v>
      </c>
      <c r="I14">
        <f>_xlfn.COUNTIFS($B$14:$B$56,G14)</f>
        <v>10</v>
      </c>
      <c r="J14" s="27">
        <f>_xlfn.SUMIFS($E$14:$E$56,$B$14:$B$56,G14)</f>
        <v>1046200</v>
      </c>
      <c r="K14" s="30">
        <f>J14/$J$18</f>
        <v>0.14378581932628742</v>
      </c>
      <c r="L14" s="27">
        <f>_xlfn.SUMIFS($F$14:$F$56,$B$14:$B$56,G14)</f>
        <v>370221</v>
      </c>
      <c r="M14" s="30">
        <f>L14/$L$18</f>
        <v>0.08719529011986435</v>
      </c>
      <c r="N14" s="31">
        <v>0.2</v>
      </c>
    </row>
    <row r="15" spans="2:14" ht="15.75">
      <c r="B15" s="33" t="s">
        <v>109</v>
      </c>
      <c r="C15" s="22" t="s">
        <v>69</v>
      </c>
      <c r="D15" s="8"/>
      <c r="E15" s="12"/>
      <c r="F15" s="12"/>
      <c r="G15" s="33" t="s">
        <v>109</v>
      </c>
      <c r="H15" s="23" t="s">
        <v>117</v>
      </c>
      <c r="I15">
        <f>_xlfn.COUNTIFS($B$14:$B$56,G15)</f>
        <v>13</v>
      </c>
      <c r="J15" s="27">
        <f>_xlfn.SUMIFS($E$14:$E$56,$B$14:$B$56,G15)</f>
        <v>3004500</v>
      </c>
      <c r="K15" s="30">
        <f>J15/$J$18</f>
        <v>0.4129272549855005</v>
      </c>
      <c r="L15" s="27">
        <f>_xlfn.SUMIFS($F$14:$F$56,$B$14:$B$56,G15)</f>
        <v>1759110</v>
      </c>
      <c r="M15" s="30">
        <f>L15/$L$18</f>
        <v>0.41430957942081775</v>
      </c>
      <c r="N15" s="31">
        <v>0.45</v>
      </c>
    </row>
    <row r="16" spans="2:14" ht="15.75">
      <c r="B16" s="33" t="s">
        <v>109</v>
      </c>
      <c r="C16" s="22" t="s">
        <v>70</v>
      </c>
      <c r="D16" s="8"/>
      <c r="E16" s="12">
        <v>490000</v>
      </c>
      <c r="F16" s="12"/>
      <c r="G16" s="33" t="s">
        <v>111</v>
      </c>
      <c r="H16" s="23" t="s">
        <v>118</v>
      </c>
      <c r="I16">
        <f>_xlfn.COUNTIFS($B$14:$B$56,G16)</f>
        <v>13</v>
      </c>
      <c r="J16" s="27">
        <f>_xlfn.SUMIFS($E$14:$E$56,$B$14:$B$56,G16)</f>
        <v>2065400</v>
      </c>
      <c r="K16" s="30">
        <f>J16/$J$18</f>
        <v>0.2838608595263946</v>
      </c>
      <c r="L16" s="27">
        <f>_xlfn.SUMIFS($F$14:$F$56,$B$14:$B$56,G16)</f>
        <v>1609400</v>
      </c>
      <c r="M16" s="32">
        <f>L16/$L$18</f>
        <v>0.379049540460724</v>
      </c>
      <c r="N16" s="31">
        <v>0.2</v>
      </c>
    </row>
    <row r="17" spans="2:14" ht="15.75">
      <c r="B17" s="33" t="s">
        <v>110</v>
      </c>
      <c r="C17" s="22" t="s">
        <v>71</v>
      </c>
      <c r="D17" s="8"/>
      <c r="E17" s="12">
        <v>100000</v>
      </c>
      <c r="F17" s="12"/>
      <c r="G17" s="33" t="s">
        <v>113</v>
      </c>
      <c r="H17" s="23" t="s">
        <v>125</v>
      </c>
      <c r="I17">
        <f>_xlfn.COUNTIFS($B$14:$B$56,G17)</f>
        <v>0</v>
      </c>
      <c r="J17" s="27">
        <f>_xlfn.SUMIFS($E$14:$E$56,$B$14:$B$56,G17)</f>
        <v>0</v>
      </c>
      <c r="K17" s="30">
        <f>J17/$J$18</f>
        <v>0</v>
      </c>
      <c r="L17" s="27">
        <f>_xlfn.SUMIFS($F$14:$F$56,$B$14:$B$56,G17)</f>
        <v>0</v>
      </c>
      <c r="M17" s="30">
        <f>L17/$L$18</f>
        <v>0</v>
      </c>
      <c r="N17" s="31"/>
    </row>
    <row r="18" spans="2:14" ht="15.75">
      <c r="B18" s="33" t="s">
        <v>110</v>
      </c>
      <c r="C18" s="22" t="s">
        <v>72</v>
      </c>
      <c r="D18" s="8"/>
      <c r="E18" s="12"/>
      <c r="F18" s="12"/>
      <c r="H18" s="29" t="s">
        <v>124</v>
      </c>
      <c r="I18" s="28">
        <f>SUM(I13:I17)</f>
        <v>43</v>
      </c>
      <c r="J18" s="28">
        <f>SUM(J13:J17)</f>
        <v>7276100</v>
      </c>
      <c r="K18" s="28"/>
      <c r="L18" s="28">
        <f>SUM(L13:L17)</f>
        <v>4245883</v>
      </c>
      <c r="N18" s="31"/>
    </row>
    <row r="19" spans="2:6" ht="15.75">
      <c r="B19" s="33" t="s">
        <v>110</v>
      </c>
      <c r="C19" s="22" t="s">
        <v>73</v>
      </c>
      <c r="D19" s="8"/>
      <c r="E19" s="12"/>
      <c r="F19" s="12"/>
    </row>
    <row r="20" spans="2:6" ht="15.75">
      <c r="B20" s="33" t="s">
        <v>110</v>
      </c>
      <c r="C20" s="22" t="s">
        <v>74</v>
      </c>
      <c r="D20" s="8"/>
      <c r="E20" s="12">
        <v>67000</v>
      </c>
      <c r="F20" s="12">
        <v>65652</v>
      </c>
    </row>
    <row r="21" spans="2:6" ht="15.75">
      <c r="B21" s="33" t="s">
        <v>111</v>
      </c>
      <c r="C21" s="22" t="s">
        <v>75</v>
      </c>
      <c r="D21" s="8"/>
      <c r="E21" s="12"/>
      <c r="F21" s="12"/>
    </row>
    <row r="22" spans="2:6" ht="15.75">
      <c r="B22" s="33" t="s">
        <v>111</v>
      </c>
      <c r="C22" s="22" t="s">
        <v>76</v>
      </c>
      <c r="D22" s="8"/>
      <c r="E22" s="12"/>
      <c r="F22" s="12"/>
    </row>
    <row r="23" spans="2:6" ht="15.75">
      <c r="B23" s="33" t="s">
        <v>111</v>
      </c>
      <c r="C23" s="22" t="s">
        <v>77</v>
      </c>
      <c r="D23" s="8"/>
      <c r="E23" s="12">
        <v>150000</v>
      </c>
      <c r="F23" s="12"/>
    </row>
    <row r="24" spans="2:6" ht="15.75">
      <c r="B24" s="33" t="s">
        <v>110</v>
      </c>
      <c r="C24" s="22" t="s">
        <v>78</v>
      </c>
      <c r="D24" s="8"/>
      <c r="E24" s="12">
        <v>135000</v>
      </c>
      <c r="F24" s="12"/>
    </row>
    <row r="25" spans="2:6" ht="15.75">
      <c r="B25" s="33" t="s">
        <v>110</v>
      </c>
      <c r="C25" s="22" t="s">
        <v>79</v>
      </c>
      <c r="D25" s="8"/>
      <c r="E25" s="12">
        <v>137000</v>
      </c>
      <c r="F25" s="12"/>
    </row>
    <row r="26" spans="2:6" ht="15.75">
      <c r="B26" s="33" t="s">
        <v>111</v>
      </c>
      <c r="C26" s="22" t="s">
        <v>80</v>
      </c>
      <c r="D26" s="8"/>
      <c r="E26" s="12">
        <v>500000</v>
      </c>
      <c r="F26" s="12">
        <v>500000</v>
      </c>
    </row>
    <row r="27" spans="2:6" ht="15.75">
      <c r="B27" s="33" t="s">
        <v>112</v>
      </c>
      <c r="C27" s="22" t="s">
        <v>81</v>
      </c>
      <c r="D27" s="8"/>
      <c r="E27" s="12"/>
      <c r="F27" s="12"/>
    </row>
    <row r="28" spans="2:6" ht="15.75">
      <c r="B28" s="33" t="s">
        <v>112</v>
      </c>
      <c r="C28" s="22" t="s">
        <v>82</v>
      </c>
      <c r="D28" s="8"/>
      <c r="E28" s="12">
        <v>180000</v>
      </c>
      <c r="F28" s="12">
        <v>128000</v>
      </c>
    </row>
    <row r="29" spans="2:6" ht="15.75">
      <c r="B29" s="33" t="s">
        <v>111</v>
      </c>
      <c r="C29" s="22" t="s">
        <v>83</v>
      </c>
      <c r="D29" s="8"/>
      <c r="E29" s="12">
        <v>313000</v>
      </c>
      <c r="F29" s="12">
        <v>195000</v>
      </c>
    </row>
    <row r="30" spans="2:6" ht="15.75">
      <c r="B30" s="33" t="s">
        <v>109</v>
      </c>
      <c r="C30" s="22" t="s">
        <v>84</v>
      </c>
      <c r="D30" s="8"/>
      <c r="E30" s="12">
        <v>1200000</v>
      </c>
      <c r="F30" s="12">
        <v>1200000</v>
      </c>
    </row>
    <row r="31" spans="2:6" ht="15.75">
      <c r="B31" s="33" t="s">
        <v>109</v>
      </c>
      <c r="C31" s="22" t="s">
        <v>85</v>
      </c>
      <c r="D31" s="8"/>
      <c r="E31" s="12">
        <v>364500</v>
      </c>
      <c r="F31" s="12">
        <v>309760</v>
      </c>
    </row>
    <row r="32" spans="2:6" ht="15.75">
      <c r="B32" s="33" t="s">
        <v>109</v>
      </c>
      <c r="C32" s="22" t="s">
        <v>86</v>
      </c>
      <c r="D32" s="8"/>
      <c r="E32" s="12"/>
      <c r="F32" s="12"/>
    </row>
    <row r="33" spans="2:6" ht="15.75">
      <c r="B33" s="33" t="s">
        <v>109</v>
      </c>
      <c r="C33" s="22" t="s">
        <v>87</v>
      </c>
      <c r="D33" s="8"/>
      <c r="E33" s="12"/>
      <c r="F33" s="12"/>
    </row>
    <row r="34" spans="2:6" ht="15.75">
      <c r="B34" s="35" t="s">
        <v>111</v>
      </c>
      <c r="C34" s="22" t="s">
        <v>88</v>
      </c>
      <c r="D34" s="8"/>
      <c r="E34" s="12">
        <v>106000</v>
      </c>
      <c r="F34" s="12">
        <v>109000</v>
      </c>
    </row>
    <row r="35" spans="2:6" ht="15.75">
      <c r="B35" s="33" t="s">
        <v>111</v>
      </c>
      <c r="C35" s="22" t="s">
        <v>90</v>
      </c>
      <c r="D35" s="8"/>
      <c r="E35" s="12">
        <v>206400</v>
      </c>
      <c r="F35" s="12">
        <v>206400</v>
      </c>
    </row>
    <row r="36" spans="2:6" ht="15.75">
      <c r="B36" s="33" t="s">
        <v>109</v>
      </c>
      <c r="C36" s="22" t="s">
        <v>89</v>
      </c>
      <c r="D36" s="8"/>
      <c r="E36" s="12"/>
      <c r="F36" s="12"/>
    </row>
    <row r="37" spans="2:6" ht="15.75">
      <c r="B37" s="33" t="s">
        <v>109</v>
      </c>
      <c r="C37" s="22" t="s">
        <v>91</v>
      </c>
      <c r="D37" s="8"/>
      <c r="E37" s="12"/>
      <c r="F37" s="12"/>
    </row>
    <row r="38" spans="2:6" ht="15.75">
      <c r="B38" s="33" t="s">
        <v>109</v>
      </c>
      <c r="C38" s="22" t="s">
        <v>92</v>
      </c>
      <c r="D38" s="8"/>
      <c r="E38" s="12"/>
      <c r="F38" s="12"/>
    </row>
    <row r="39" spans="2:6" ht="15.75">
      <c r="B39" s="33" t="s">
        <v>111</v>
      </c>
      <c r="C39" s="22" t="s">
        <v>93</v>
      </c>
      <c r="D39" s="8"/>
      <c r="E39" s="12">
        <v>240000</v>
      </c>
      <c r="F39" s="12">
        <v>239000</v>
      </c>
    </row>
    <row r="40" spans="2:6" ht="15.75">
      <c r="B40" s="33" t="s">
        <v>111</v>
      </c>
      <c r="C40" s="22" t="s">
        <v>94</v>
      </c>
      <c r="D40" s="8"/>
      <c r="E40" s="12">
        <v>500000</v>
      </c>
      <c r="F40" s="12"/>
    </row>
    <row r="41" spans="2:6" ht="15.75">
      <c r="B41" s="33" t="s">
        <v>111</v>
      </c>
      <c r="C41" s="22" t="s">
        <v>95</v>
      </c>
      <c r="D41" s="8"/>
      <c r="E41" s="12"/>
      <c r="F41" s="12"/>
    </row>
    <row r="42" spans="2:6" ht="15.75">
      <c r="B42" s="33" t="s">
        <v>111</v>
      </c>
      <c r="C42" s="22" t="s">
        <v>96</v>
      </c>
      <c r="D42" s="8"/>
      <c r="E42" s="12"/>
      <c r="F42" s="12"/>
    </row>
    <row r="43" spans="2:6" ht="15.75">
      <c r="B43" s="33" t="s">
        <v>109</v>
      </c>
      <c r="C43" s="22" t="s">
        <v>97</v>
      </c>
      <c r="D43" s="8"/>
      <c r="E43" s="12"/>
      <c r="F43" s="12"/>
    </row>
    <row r="44" spans="2:6" ht="15.75">
      <c r="B44" s="35" t="s">
        <v>112</v>
      </c>
      <c r="C44" s="22" t="s">
        <v>98</v>
      </c>
      <c r="D44" s="8"/>
      <c r="E44" s="12">
        <v>200000</v>
      </c>
      <c r="F44" s="12">
        <v>91000</v>
      </c>
    </row>
    <row r="45" spans="2:6" ht="15.75">
      <c r="B45" s="33" t="s">
        <v>112</v>
      </c>
      <c r="C45" s="22" t="s">
        <v>99</v>
      </c>
      <c r="D45" s="8"/>
      <c r="E45" s="12">
        <v>300000</v>
      </c>
      <c r="F45" s="12"/>
    </row>
    <row r="46" spans="2:6" ht="15.75">
      <c r="B46" s="33" t="s">
        <v>112</v>
      </c>
      <c r="C46" s="22" t="s">
        <v>101</v>
      </c>
      <c r="D46" s="8"/>
      <c r="E46" s="12">
        <v>310000</v>
      </c>
      <c r="F46" s="12">
        <v>240000</v>
      </c>
    </row>
    <row r="47" spans="2:6" ht="15.75">
      <c r="B47" s="33" t="s">
        <v>111</v>
      </c>
      <c r="C47" s="22" t="s">
        <v>102</v>
      </c>
      <c r="D47" s="8"/>
      <c r="E47" s="12">
        <v>50000</v>
      </c>
      <c r="F47" s="12"/>
    </row>
    <row r="48" spans="2:6" ht="15.75">
      <c r="B48" s="33" t="s">
        <v>111</v>
      </c>
      <c r="C48" s="22" t="s">
        <v>108</v>
      </c>
      <c r="D48" s="8"/>
      <c r="E48" s="12"/>
      <c r="F48" s="12">
        <v>360000</v>
      </c>
    </row>
    <row r="49" spans="2:6" ht="15.75">
      <c r="B49" s="33" t="s">
        <v>110</v>
      </c>
      <c r="C49" s="22" t="s">
        <v>103</v>
      </c>
      <c r="D49" s="8"/>
      <c r="E49" s="12">
        <v>276100</v>
      </c>
      <c r="F49" s="12">
        <v>26180</v>
      </c>
    </row>
    <row r="50" spans="2:6" ht="15.75">
      <c r="B50" s="33" t="s">
        <v>112</v>
      </c>
      <c r="C50" s="22" t="s">
        <v>104</v>
      </c>
      <c r="D50" s="8"/>
      <c r="E50" s="12">
        <v>50000</v>
      </c>
      <c r="F50" s="12">
        <v>48152</v>
      </c>
    </row>
    <row r="51" spans="2:6" ht="15.75">
      <c r="B51" s="33" t="s">
        <v>110</v>
      </c>
      <c r="C51" s="22" t="s">
        <v>105</v>
      </c>
      <c r="D51" s="8"/>
      <c r="E51" s="12">
        <v>100000</v>
      </c>
      <c r="F51" s="12">
        <v>100000</v>
      </c>
    </row>
    <row r="52" spans="2:6" ht="15.75">
      <c r="B52" s="33" t="s">
        <v>112</v>
      </c>
      <c r="C52" s="22" t="s">
        <v>106</v>
      </c>
      <c r="D52" s="8"/>
      <c r="E52" s="12">
        <v>120000</v>
      </c>
      <c r="F52" s="12"/>
    </row>
    <row r="53" spans="2:6" ht="15.75">
      <c r="B53" s="35" t="s">
        <v>110</v>
      </c>
      <c r="C53" s="22" t="s">
        <v>130</v>
      </c>
      <c r="D53" s="8"/>
      <c r="E53" s="12">
        <v>20000</v>
      </c>
      <c r="F53" s="12">
        <v>10089</v>
      </c>
    </row>
    <row r="54" spans="2:6" ht="15.75">
      <c r="B54" s="35" t="s">
        <v>109</v>
      </c>
      <c r="C54" s="22" t="s">
        <v>114</v>
      </c>
      <c r="D54" s="8"/>
      <c r="E54" s="12">
        <v>100000</v>
      </c>
      <c r="F54" s="12"/>
    </row>
    <row r="55" spans="2:6" ht="15.75">
      <c r="B55" s="33" t="s">
        <v>110</v>
      </c>
      <c r="C55" s="22" t="s">
        <v>131</v>
      </c>
      <c r="D55" s="8"/>
      <c r="E55" s="12">
        <v>211100</v>
      </c>
      <c r="F55" s="12">
        <v>168300</v>
      </c>
    </row>
    <row r="56" spans="2:6" ht="15.75">
      <c r="B56" s="33" t="s">
        <v>109</v>
      </c>
      <c r="C56" s="22" t="s">
        <v>107</v>
      </c>
      <c r="D56" s="8"/>
      <c r="E56" s="12">
        <v>200000</v>
      </c>
      <c r="F56" s="12"/>
    </row>
    <row r="57" spans="3:5" ht="15">
      <c r="C57" s="8"/>
      <c r="D57" s="8"/>
      <c r="E57" s="12"/>
    </row>
    <row r="58" spans="3:6" ht="15">
      <c r="C58" s="8" t="s">
        <v>28</v>
      </c>
      <c r="D58" s="8"/>
      <c r="E58" s="11">
        <f>SUM(E14:E56)</f>
        <v>7276100</v>
      </c>
      <c r="F58" s="11">
        <f>SUM(F14:F56)</f>
        <v>4245883</v>
      </c>
    </row>
    <row r="59" spans="3:5" ht="15">
      <c r="C59" s="7"/>
      <c r="D59" s="7"/>
      <c r="E59" s="7"/>
    </row>
    <row r="60" spans="3:6" ht="15">
      <c r="C60" s="8" t="s">
        <v>5</v>
      </c>
      <c r="D60" s="8"/>
      <c r="E60" s="14">
        <f>E11-E58</f>
        <v>-1393995.7600000016</v>
      </c>
      <c r="F60" s="18"/>
    </row>
    <row r="63" spans="3:4" ht="12.75">
      <c r="C63" s="1"/>
      <c r="D63" s="1"/>
    </row>
  </sheetData>
  <sheetProtection/>
  <mergeCells count="3">
    <mergeCell ref="I11:I12"/>
    <mergeCell ref="G11:H12"/>
    <mergeCell ref="J11:M11"/>
  </mergeCells>
  <conditionalFormatting sqref="K13 M13">
    <cfRule type="cellIs" priority="10" dxfId="0" operator="greaterThan" stopIfTrue="1">
      <formula>$N$13</formula>
    </cfRule>
  </conditionalFormatting>
  <conditionalFormatting sqref="K14 M14">
    <cfRule type="cellIs" priority="9" dxfId="0" operator="greaterThan" stopIfTrue="1">
      <formula>$N$14</formula>
    </cfRule>
  </conditionalFormatting>
  <conditionalFormatting sqref="K15 M15">
    <cfRule type="cellIs" priority="8" dxfId="0" operator="greaterThan" stopIfTrue="1">
      <formula>$N$15</formula>
    </cfRule>
  </conditionalFormatting>
  <conditionalFormatting sqref="K16 M16">
    <cfRule type="cellIs" priority="7" dxfId="0" operator="greaterThan" stopIfTrue="1">
      <formula>$N$16</formula>
    </cfRule>
  </conditionalFormatting>
  <conditionalFormatting sqref="K17 M17">
    <cfRule type="cellIs" priority="6" dxfId="0" operator="greaterThan" stopIfTrue="1">
      <formula>$N$17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bss8-165</dc:creator>
  <cp:keywords/>
  <dc:description/>
  <cp:lastModifiedBy>assistsa</cp:lastModifiedBy>
  <cp:lastPrinted>2016-12-06T03:33:24Z</cp:lastPrinted>
  <dcterms:created xsi:type="dcterms:W3CDTF">2011-02-08T13:37:24Z</dcterms:created>
  <dcterms:modified xsi:type="dcterms:W3CDTF">2019-02-13T09:42:40Z</dcterms:modified>
  <cp:category/>
  <cp:version/>
  <cp:contentType/>
  <cp:contentStatus/>
</cp:coreProperties>
</file>